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45" windowWidth="15135" windowHeight="8130" tabRatio="743" firstSheet="1" activeTab="3"/>
  </bookViews>
  <sheets>
    <sheet name="Experimentla design" sheetId="11" r:id="rId1"/>
    <sheet name="Permeability model" sheetId="8" r:id="rId2"/>
    <sheet name="Compressive Load Model" sheetId="10" r:id="rId3"/>
    <sheet name="Compressive stress model" sheetId="15" r:id="rId4"/>
    <sheet name="Sieve analysis" sheetId="12" r:id="rId5"/>
    <sheet name="XRD" sheetId="13" r:id="rId6"/>
    <sheet name="Sheet1" sheetId="16" r:id="rId7"/>
  </sheets>
  <definedNames>
    <definedName name="x">'Permeability model'!$G$48</definedName>
    <definedName name="y">'Permeability model'!$B$49</definedName>
    <definedName name="z">'Permeability model'!$B$50</definedName>
  </definedNames>
  <calcPr calcId="125725"/>
</workbook>
</file>

<file path=xl/calcChain.xml><?xml version="1.0" encoding="utf-8"?>
<calcChain xmlns="http://schemas.openxmlformats.org/spreadsheetml/2006/main">
  <c r="F51" i="15"/>
  <c r="F39"/>
  <c r="A32" i="8"/>
  <c r="A33"/>
  <c r="A34"/>
  <c r="A35"/>
  <c r="A36"/>
  <c r="A31"/>
  <c r="H40" i="15"/>
  <c r="H41"/>
  <c r="H42"/>
  <c r="H43"/>
  <c r="H44"/>
  <c r="H45"/>
  <c r="H46"/>
  <c r="H47"/>
  <c r="H48"/>
  <c r="H49"/>
  <c r="H39"/>
  <c r="H50"/>
  <c r="G40"/>
  <c r="G41"/>
  <c r="G42"/>
  <c r="G43"/>
  <c r="G44"/>
  <c r="G45"/>
  <c r="G46"/>
  <c r="G47"/>
  <c r="G48"/>
  <c r="G49"/>
  <c r="G39"/>
  <c r="H26"/>
  <c r="H27"/>
  <c r="H28"/>
  <c r="H29"/>
  <c r="H30"/>
  <c r="H31"/>
  <c r="H32"/>
  <c r="H33"/>
  <c r="H34"/>
  <c r="H35"/>
  <c r="H25"/>
  <c r="G26"/>
  <c r="G27"/>
  <c r="G28"/>
  <c r="G29"/>
  <c r="G30"/>
  <c r="G31"/>
  <c r="G32"/>
  <c r="G33"/>
  <c r="G34"/>
  <c r="G35"/>
  <c r="G25"/>
  <c r="F26"/>
  <c r="F27"/>
  <c r="F28"/>
  <c r="F29"/>
  <c r="F30"/>
  <c r="F31"/>
  <c r="F32"/>
  <c r="F33"/>
  <c r="F34"/>
  <c r="F35"/>
  <c r="F25"/>
  <c r="E26"/>
  <c r="E27"/>
  <c r="E28"/>
  <c r="E29"/>
  <c r="E30"/>
  <c r="E31"/>
  <c r="E32"/>
  <c r="E33"/>
  <c r="E34"/>
  <c r="E35"/>
  <c r="E25"/>
  <c r="D26"/>
  <c r="D27"/>
  <c r="D28"/>
  <c r="D29"/>
  <c r="D30"/>
  <c r="D31"/>
  <c r="D32"/>
  <c r="D33"/>
  <c r="D34"/>
  <c r="D35"/>
  <c r="D25"/>
  <c r="C26"/>
  <c r="C27"/>
  <c r="C28"/>
  <c r="C29"/>
  <c r="C30"/>
  <c r="C31"/>
  <c r="C32"/>
  <c r="C33"/>
  <c r="C34"/>
  <c r="C35"/>
  <c r="C25"/>
  <c r="B26"/>
  <c r="B27"/>
  <c r="B28"/>
  <c r="B29"/>
  <c r="B30"/>
  <c r="B31"/>
  <c r="B32"/>
  <c r="B33"/>
  <c r="B34"/>
  <c r="B35"/>
  <c r="B25"/>
  <c r="H7"/>
  <c r="H8"/>
  <c r="H9"/>
  <c r="H10"/>
  <c r="H11"/>
  <c r="H12"/>
  <c r="H13"/>
  <c r="H14"/>
  <c r="H15"/>
  <c r="H16"/>
  <c r="H17"/>
  <c r="H18"/>
  <c r="H19"/>
  <c r="H20"/>
  <c r="H6"/>
  <c r="G7"/>
  <c r="G8"/>
  <c r="G9"/>
  <c r="G10"/>
  <c r="G11"/>
  <c r="G12"/>
  <c r="G13"/>
  <c r="G14"/>
  <c r="G15"/>
  <c r="G16"/>
  <c r="G17"/>
  <c r="G18"/>
  <c r="G19"/>
  <c r="G20"/>
  <c r="G6"/>
  <c r="F7"/>
  <c r="F8"/>
  <c r="F9"/>
  <c r="F10"/>
  <c r="F11"/>
  <c r="F12"/>
  <c r="F13"/>
  <c r="F14"/>
  <c r="F15"/>
  <c r="F16"/>
  <c r="F17"/>
  <c r="F18"/>
  <c r="F19"/>
  <c r="F20"/>
  <c r="F6"/>
  <c r="E7"/>
  <c r="E8"/>
  <c r="E9"/>
  <c r="E10"/>
  <c r="E11"/>
  <c r="E12"/>
  <c r="E13"/>
  <c r="E14"/>
  <c r="E15"/>
  <c r="E16"/>
  <c r="E17"/>
  <c r="E18"/>
  <c r="E19"/>
  <c r="E20"/>
  <c r="E6"/>
  <c r="D7"/>
  <c r="D8"/>
  <c r="D9"/>
  <c r="D10"/>
  <c r="D11"/>
  <c r="D12"/>
  <c r="D13"/>
  <c r="D14"/>
  <c r="D15"/>
  <c r="D16"/>
  <c r="D17"/>
  <c r="D18"/>
  <c r="D19"/>
  <c r="D20"/>
  <c r="D6"/>
  <c r="C6"/>
  <c r="C7"/>
  <c r="C8"/>
  <c r="C9"/>
  <c r="C10"/>
  <c r="C11"/>
  <c r="C12"/>
  <c r="C13"/>
  <c r="C14"/>
  <c r="C15"/>
  <c r="C16"/>
  <c r="C17"/>
  <c r="C18"/>
  <c r="C19"/>
  <c r="C20"/>
  <c r="B7"/>
  <c r="B8"/>
  <c r="B9"/>
  <c r="B10"/>
  <c r="B11"/>
  <c r="B12"/>
  <c r="B13"/>
  <c r="B14"/>
  <c r="B15"/>
  <c r="B16"/>
  <c r="B17"/>
  <c r="B18"/>
  <c r="B19"/>
  <c r="B20"/>
  <c r="B6"/>
  <c r="F34" i="8"/>
  <c r="F35"/>
  <c r="F36"/>
  <c r="F37"/>
  <c r="F38"/>
  <c r="F39"/>
  <c r="F40"/>
  <c r="F41"/>
  <c r="F42"/>
  <c r="F43"/>
  <c r="F44"/>
  <c r="F45"/>
  <c r="F33"/>
  <c r="E34"/>
  <c r="E35"/>
  <c r="E36"/>
  <c r="E37"/>
  <c r="E38"/>
  <c r="E39"/>
  <c r="E40"/>
  <c r="E41"/>
  <c r="E42"/>
  <c r="E43"/>
  <c r="E44"/>
  <c r="E45"/>
  <c r="E33"/>
  <c r="F40" i="15"/>
  <c r="F41"/>
  <c r="F42"/>
  <c r="F43"/>
  <c r="F44"/>
  <c r="F45"/>
  <c r="F46"/>
  <c r="F47"/>
  <c r="F48"/>
  <c r="F49"/>
  <c r="H36" i="8"/>
  <c r="J46"/>
  <c r="J34"/>
  <c r="J35"/>
  <c r="J36"/>
  <c r="J37"/>
  <c r="J38"/>
  <c r="J39"/>
  <c r="J40"/>
  <c r="J41"/>
  <c r="J42"/>
  <c r="J43"/>
  <c r="J44"/>
  <c r="J45"/>
  <c r="J33"/>
  <c r="H37"/>
  <c r="H38"/>
  <c r="H39"/>
  <c r="H40"/>
  <c r="H41"/>
  <c r="H42"/>
  <c r="H43"/>
  <c r="H44"/>
  <c r="H45"/>
  <c r="H46"/>
  <c r="H47"/>
  <c r="H48"/>
  <c r="I38"/>
  <c r="C18" i="16"/>
  <c r="D18"/>
  <c r="E18"/>
  <c r="F18"/>
  <c r="G18"/>
  <c r="H18"/>
  <c r="I18"/>
  <c r="J18"/>
  <c r="K18"/>
  <c r="L18"/>
  <c r="B18"/>
  <c r="C17"/>
  <c r="D17"/>
  <c r="E17"/>
  <c r="F17"/>
  <c r="G17"/>
  <c r="H17"/>
  <c r="I17"/>
  <c r="J17"/>
  <c r="K17"/>
  <c r="L17"/>
  <c r="B17"/>
  <c r="C16"/>
  <c r="D16"/>
  <c r="E16"/>
  <c r="F16"/>
  <c r="G16"/>
  <c r="H16"/>
  <c r="I16"/>
  <c r="J16"/>
  <c r="K16"/>
  <c r="L16"/>
  <c r="B16"/>
  <c r="C15"/>
  <c r="D15"/>
  <c r="E15"/>
  <c r="F15"/>
  <c r="G15"/>
  <c r="H15"/>
  <c r="I15"/>
  <c r="J15"/>
  <c r="K15"/>
  <c r="L15"/>
  <c r="B15"/>
  <c r="C14"/>
  <c r="D14"/>
  <c r="E14"/>
  <c r="F14"/>
  <c r="G14"/>
  <c r="H14"/>
  <c r="I14"/>
  <c r="J14"/>
  <c r="K14"/>
  <c r="L14"/>
  <c r="B14"/>
  <c r="C13"/>
  <c r="D13"/>
  <c r="E13"/>
  <c r="F13"/>
  <c r="G13"/>
  <c r="H13"/>
  <c r="I13"/>
  <c r="J13"/>
  <c r="K13"/>
  <c r="L13"/>
  <c r="B13"/>
  <c r="G12"/>
  <c r="H12"/>
  <c r="I12"/>
  <c r="J12"/>
  <c r="K12"/>
  <c r="L12"/>
  <c r="G11"/>
  <c r="H11"/>
  <c r="I11"/>
  <c r="J11"/>
  <c r="K11"/>
  <c r="L11"/>
  <c r="G10"/>
  <c r="H10"/>
  <c r="I10"/>
  <c r="J10"/>
  <c r="K10"/>
  <c r="L10"/>
  <c r="G9"/>
  <c r="H9"/>
  <c r="I9"/>
  <c r="J9"/>
  <c r="K9"/>
  <c r="L9"/>
  <c r="G8"/>
  <c r="H8"/>
  <c r="I8"/>
  <c r="J8"/>
  <c r="K8"/>
  <c r="L8"/>
  <c r="B8"/>
  <c r="C8"/>
  <c r="D8"/>
  <c r="E8"/>
  <c r="F8"/>
  <c r="C12"/>
  <c r="D12"/>
  <c r="E12"/>
  <c r="F12"/>
  <c r="B12"/>
  <c r="C11"/>
  <c r="D11"/>
  <c r="E11"/>
  <c r="F11"/>
  <c r="B11"/>
  <c r="C10"/>
  <c r="D10"/>
  <c r="E10"/>
  <c r="F10"/>
  <c r="B10"/>
  <c r="C9"/>
  <c r="D9"/>
  <c r="E9"/>
  <c r="F9"/>
  <c r="B9"/>
  <c r="K69" i="15"/>
  <c r="P65"/>
  <c r="M65"/>
  <c r="O65"/>
  <c r="P60"/>
  <c r="I37" i="8"/>
  <c r="I40"/>
  <c r="I42"/>
  <c r="I44"/>
  <c r="I46"/>
  <c r="I48"/>
  <c r="I36"/>
  <c r="D50" i="15"/>
  <c r="E40"/>
  <c r="E41"/>
  <c r="E42"/>
  <c r="E43"/>
  <c r="E44"/>
  <c r="E45"/>
  <c r="E46"/>
  <c r="E47"/>
  <c r="E48"/>
  <c r="E49"/>
  <c r="E39"/>
  <c r="D13" i="12"/>
  <c r="F11"/>
  <c r="D11"/>
  <c r="F10"/>
  <c r="D10"/>
  <c r="F9"/>
  <c r="D9"/>
  <c r="F8"/>
  <c r="D8"/>
  <c r="F7"/>
  <c r="D7"/>
  <c r="F6"/>
  <c r="E6"/>
  <c r="D6"/>
  <c r="F5"/>
  <c r="D5"/>
  <c r="C89" i="15"/>
  <c r="C88"/>
  <c r="C86"/>
  <c r="C85"/>
  <c r="C84"/>
  <c r="E83"/>
  <c r="C83"/>
  <c r="E82"/>
  <c r="C82"/>
  <c r="E81"/>
  <c r="C81"/>
  <c r="E80"/>
  <c r="C80"/>
  <c r="E79"/>
  <c r="C79"/>
  <c r="E78"/>
  <c r="C78"/>
  <c r="E77"/>
  <c r="C77"/>
  <c r="E76"/>
  <c r="C76"/>
  <c r="E75"/>
  <c r="C75"/>
  <c r="E74"/>
  <c r="E73"/>
  <c r="C73"/>
  <c r="M68"/>
  <c r="O66"/>
  <c r="M66"/>
  <c r="C65"/>
  <c r="O64"/>
  <c r="M64"/>
  <c r="C64"/>
  <c r="C63"/>
  <c r="O62"/>
  <c r="M62"/>
  <c r="C62"/>
  <c r="O61"/>
  <c r="M61"/>
  <c r="C61"/>
  <c r="O60"/>
  <c r="M60"/>
  <c r="C60"/>
  <c r="C59"/>
  <c r="C58"/>
  <c r="C57"/>
  <c r="AA56"/>
  <c r="Y56"/>
  <c r="U56"/>
  <c r="T56"/>
  <c r="R56"/>
  <c r="O56"/>
  <c r="C56"/>
  <c r="J55"/>
  <c r="C55"/>
  <c r="V53"/>
  <c r="T53"/>
  <c r="S53"/>
  <c r="R53"/>
  <c r="Q53"/>
  <c r="O53"/>
  <c r="N53"/>
  <c r="V52"/>
  <c r="T52"/>
  <c r="S52"/>
  <c r="R52"/>
  <c r="Q52"/>
  <c r="O52"/>
  <c r="N52"/>
  <c r="V51"/>
  <c r="T51"/>
  <c r="S51"/>
  <c r="R51"/>
  <c r="Q51"/>
  <c r="O51"/>
  <c r="N51"/>
  <c r="V50"/>
  <c r="T50"/>
  <c r="S50"/>
  <c r="R50"/>
  <c r="Q50"/>
  <c r="O50"/>
  <c r="N50"/>
  <c r="V49"/>
  <c r="T49"/>
  <c r="S49"/>
  <c r="R49"/>
  <c r="Q49"/>
  <c r="O49"/>
  <c r="N49"/>
  <c r="C49"/>
  <c r="V48"/>
  <c r="T48"/>
  <c r="S48"/>
  <c r="R48"/>
  <c r="Q48"/>
  <c r="O48"/>
  <c r="N48"/>
  <c r="C48"/>
  <c r="V47"/>
  <c r="T47"/>
  <c r="S47"/>
  <c r="R47"/>
  <c r="Q47"/>
  <c r="O47"/>
  <c r="N47"/>
  <c r="C47"/>
  <c r="V46"/>
  <c r="T46"/>
  <c r="S46"/>
  <c r="R46"/>
  <c r="Q46"/>
  <c r="O46"/>
  <c r="N46"/>
  <c r="C46"/>
  <c r="Y45"/>
  <c r="X45"/>
  <c r="V45"/>
  <c r="T45"/>
  <c r="S45"/>
  <c r="R45"/>
  <c r="Q45"/>
  <c r="O45"/>
  <c r="N45"/>
  <c r="C45"/>
  <c r="Y44"/>
  <c r="X44"/>
  <c r="V44"/>
  <c r="T44"/>
  <c r="S44"/>
  <c r="R44"/>
  <c r="Q44"/>
  <c r="O44"/>
  <c r="N44"/>
  <c r="C44"/>
  <c r="Y43"/>
  <c r="X43"/>
  <c r="V43"/>
  <c r="T43"/>
  <c r="S43"/>
  <c r="R43"/>
  <c r="Q43"/>
  <c r="O43"/>
  <c r="N43"/>
  <c r="C43"/>
  <c r="AA42"/>
  <c r="C42"/>
  <c r="C41"/>
  <c r="C40"/>
  <c r="C39"/>
  <c r="C71" i="10"/>
  <c r="C70"/>
  <c r="C69"/>
  <c r="C68"/>
  <c r="C67"/>
  <c r="C66"/>
  <c r="C65"/>
  <c r="C64"/>
  <c r="C63"/>
  <c r="C62"/>
  <c r="C61"/>
  <c r="I35"/>
  <c r="H35"/>
  <c r="G35"/>
  <c r="F35"/>
  <c r="E35"/>
  <c r="D35"/>
  <c r="C35"/>
  <c r="I34"/>
  <c r="H34"/>
  <c r="G34"/>
  <c r="F34"/>
  <c r="E34"/>
  <c r="D34"/>
  <c r="C34"/>
  <c r="I33"/>
  <c r="H33"/>
  <c r="G33"/>
  <c r="F33"/>
  <c r="E33"/>
  <c r="D33"/>
  <c r="C33"/>
  <c r="I32"/>
  <c r="H32"/>
  <c r="G32"/>
  <c r="F32"/>
  <c r="E32"/>
  <c r="D32"/>
  <c r="C32"/>
  <c r="I31"/>
  <c r="H31"/>
  <c r="G31"/>
  <c r="F31"/>
  <c r="E31"/>
  <c r="D31"/>
  <c r="C31"/>
  <c r="I30"/>
  <c r="H30"/>
  <c r="G30"/>
  <c r="F30"/>
  <c r="E30"/>
  <c r="D30"/>
  <c r="C30"/>
  <c r="I29"/>
  <c r="H29"/>
  <c r="G29"/>
  <c r="F29"/>
  <c r="E29"/>
  <c r="D29"/>
  <c r="C29"/>
  <c r="I28"/>
  <c r="H28"/>
  <c r="G28"/>
  <c r="F28"/>
  <c r="E28"/>
  <c r="D28"/>
  <c r="C28"/>
  <c r="I27"/>
  <c r="H27"/>
  <c r="G27"/>
  <c r="F27"/>
  <c r="E27"/>
  <c r="D27"/>
  <c r="C27"/>
  <c r="I26"/>
  <c r="H26"/>
  <c r="G26"/>
  <c r="F26"/>
  <c r="E26"/>
  <c r="D26"/>
  <c r="C26"/>
  <c r="I25"/>
  <c r="H25"/>
  <c r="G25"/>
  <c r="F25"/>
  <c r="E25"/>
  <c r="D25"/>
  <c r="C25"/>
  <c r="I20"/>
  <c r="H20"/>
  <c r="G20"/>
  <c r="F20"/>
  <c r="E20"/>
  <c r="D20"/>
  <c r="C20"/>
  <c r="I19"/>
  <c r="H19"/>
  <c r="G19"/>
  <c r="F19"/>
  <c r="E19"/>
  <c r="D19"/>
  <c r="C19"/>
  <c r="I18"/>
  <c r="H18"/>
  <c r="G18"/>
  <c r="F18"/>
  <c r="E18"/>
  <c r="D18"/>
  <c r="C18"/>
  <c r="I17"/>
  <c r="H17"/>
  <c r="G17"/>
  <c r="F17"/>
  <c r="E17"/>
  <c r="D17"/>
  <c r="C17"/>
  <c r="I16"/>
  <c r="H16"/>
  <c r="G16"/>
  <c r="F16"/>
  <c r="E16"/>
  <c r="D16"/>
  <c r="C16"/>
  <c r="I15"/>
  <c r="H15"/>
  <c r="G15"/>
  <c r="F15"/>
  <c r="E15"/>
  <c r="D15"/>
  <c r="C15"/>
  <c r="I14"/>
  <c r="H14"/>
  <c r="G14"/>
  <c r="F14"/>
  <c r="E14"/>
  <c r="D14"/>
  <c r="C14"/>
  <c r="I13"/>
  <c r="H13"/>
  <c r="G13"/>
  <c r="F13"/>
  <c r="E13"/>
  <c r="D13"/>
  <c r="C13"/>
  <c r="I12"/>
  <c r="H12"/>
  <c r="G12"/>
  <c r="F12"/>
  <c r="E12"/>
  <c r="D12"/>
  <c r="C12"/>
  <c r="I11"/>
  <c r="H11"/>
  <c r="G11"/>
  <c r="F11"/>
  <c r="E11"/>
  <c r="D11"/>
  <c r="C11"/>
  <c r="I10"/>
  <c r="H10"/>
  <c r="G10"/>
  <c r="F10"/>
  <c r="E10"/>
  <c r="D10"/>
  <c r="C10"/>
  <c r="I9"/>
  <c r="H9"/>
  <c r="G9"/>
  <c r="F9"/>
  <c r="E9"/>
  <c r="D9"/>
  <c r="C9"/>
  <c r="I8"/>
  <c r="H8"/>
  <c r="G8"/>
  <c r="F8"/>
  <c r="E8"/>
  <c r="D8"/>
  <c r="C8"/>
  <c r="I7"/>
  <c r="H7"/>
  <c r="G7"/>
  <c r="F7"/>
  <c r="E7"/>
  <c r="D7"/>
  <c r="C7"/>
  <c r="I6"/>
  <c r="H6"/>
  <c r="G6"/>
  <c r="F6"/>
  <c r="E6"/>
  <c r="D6"/>
  <c r="C6"/>
  <c r="F123" i="8"/>
  <c r="F122"/>
  <c r="F121"/>
  <c r="F120"/>
  <c r="F119"/>
  <c r="F118"/>
  <c r="F117"/>
  <c r="F116"/>
  <c r="F115"/>
  <c r="F114"/>
  <c r="F113"/>
  <c r="F112"/>
  <c r="F111"/>
  <c r="N68"/>
  <c r="K68"/>
  <c r="L68" s="1"/>
  <c r="I68"/>
  <c r="J68" s="1"/>
  <c r="F100" s="1"/>
  <c r="G68"/>
  <c r="N67"/>
  <c r="K67"/>
  <c r="L67" s="1"/>
  <c r="I67"/>
  <c r="J67" s="1"/>
  <c r="F99" s="1"/>
  <c r="G67"/>
  <c r="N66"/>
  <c r="K66"/>
  <c r="L66" s="1"/>
  <c r="I66"/>
  <c r="J66" s="1"/>
  <c r="F98" s="1"/>
  <c r="G66"/>
  <c r="N65"/>
  <c r="K65"/>
  <c r="L65" s="1"/>
  <c r="I65"/>
  <c r="J65" s="1"/>
  <c r="F97" s="1"/>
  <c r="G65"/>
  <c r="N64"/>
  <c r="K64"/>
  <c r="L64" s="1"/>
  <c r="I64"/>
  <c r="J64" s="1"/>
  <c r="F96" s="1"/>
  <c r="G64"/>
  <c r="N63"/>
  <c r="K63"/>
  <c r="L63" s="1"/>
  <c r="I63"/>
  <c r="J63" s="1"/>
  <c r="F95" s="1"/>
  <c r="G63"/>
  <c r="N62"/>
  <c r="K62"/>
  <c r="L62" s="1"/>
  <c r="I62"/>
  <c r="J62" s="1"/>
  <c r="F94" s="1"/>
  <c r="G62"/>
  <c r="N61"/>
  <c r="K61"/>
  <c r="L61" s="1"/>
  <c r="I61"/>
  <c r="J61" s="1"/>
  <c r="F93" s="1"/>
  <c r="G61"/>
  <c r="Q60"/>
  <c r="N60"/>
  <c r="K60"/>
  <c r="L60" s="1"/>
  <c r="I60"/>
  <c r="J60" s="1"/>
  <c r="G60"/>
  <c r="Q59"/>
  <c r="N59"/>
  <c r="K59"/>
  <c r="L59" s="1"/>
  <c r="I59"/>
  <c r="J59" s="1"/>
  <c r="F91" s="1"/>
  <c r="G59"/>
  <c r="Q58"/>
  <c r="N58"/>
  <c r="K58"/>
  <c r="L58" s="1"/>
  <c r="I58"/>
  <c r="J58" s="1"/>
  <c r="G58"/>
  <c r="Q57"/>
  <c r="N57"/>
  <c r="K57"/>
  <c r="L57" s="1"/>
  <c r="I57"/>
  <c r="J57" s="1"/>
  <c r="F89" s="1"/>
  <c r="G57"/>
  <c r="Q56"/>
  <c r="N56"/>
  <c r="M56"/>
  <c r="M69" s="1"/>
  <c r="K56"/>
  <c r="L56" s="1"/>
  <c r="I56"/>
  <c r="J56" s="1"/>
  <c r="F88" s="1"/>
  <c r="G56"/>
  <c r="M5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0"/>
  <c r="G20"/>
  <c r="F20"/>
  <c r="E20"/>
  <c r="D20"/>
  <c r="C20"/>
  <c r="B20"/>
  <c r="H19"/>
  <c r="G19"/>
  <c r="F19"/>
  <c r="E19"/>
  <c r="D19"/>
  <c r="C19"/>
  <c r="B19"/>
  <c r="H18"/>
  <c r="G18"/>
  <c r="F18"/>
  <c r="E18"/>
  <c r="D18"/>
  <c r="C18"/>
  <c r="B18"/>
  <c r="H17"/>
  <c r="G17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13"/>
  <c r="G13"/>
  <c r="F13"/>
  <c r="E13"/>
  <c r="D13"/>
  <c r="C13"/>
  <c r="B13"/>
  <c r="H12"/>
  <c r="G12"/>
  <c r="F12"/>
  <c r="E12"/>
  <c r="D12"/>
  <c r="C12"/>
  <c r="B12"/>
  <c r="H11"/>
  <c r="G11"/>
  <c r="F11"/>
  <c r="E11"/>
  <c r="D11"/>
  <c r="C11"/>
  <c r="B11"/>
  <c r="H10"/>
  <c r="G10"/>
  <c r="F10"/>
  <c r="E10"/>
  <c r="D10"/>
  <c r="C10"/>
  <c r="B10"/>
  <c r="H9"/>
  <c r="G9"/>
  <c r="F9"/>
  <c r="E9"/>
  <c r="D9"/>
  <c r="C9"/>
  <c r="B9"/>
  <c r="H8"/>
  <c r="G8"/>
  <c r="F8"/>
  <c r="E8"/>
  <c r="D8"/>
  <c r="C8"/>
  <c r="B8"/>
  <c r="H7"/>
  <c r="G7"/>
  <c r="F7"/>
  <c r="E7"/>
  <c r="D7"/>
  <c r="C7"/>
  <c r="B7"/>
  <c r="H6"/>
  <c r="G6"/>
  <c r="F6"/>
  <c r="E6"/>
  <c r="D6"/>
  <c r="C6"/>
  <c r="B6"/>
  <c r="F46" l="1"/>
  <c r="I47"/>
  <c r="I45"/>
  <c r="I43"/>
  <c r="I41"/>
  <c r="I39"/>
  <c r="I49" s="1"/>
  <c r="G69"/>
  <c r="Q61"/>
  <c r="E79" s="1"/>
  <c r="G79" s="1"/>
  <c r="Q69"/>
  <c r="S55" s="1"/>
  <c r="L69"/>
  <c r="E74" s="1"/>
  <c r="F90"/>
  <c r="F92"/>
  <c r="D88"/>
  <c r="D98" s="1"/>
  <c r="J69"/>
  <c r="E75" s="1"/>
  <c r="G75" s="1"/>
  <c r="G74" l="1"/>
  <c r="E73"/>
  <c r="S69"/>
  <c r="E78"/>
  <c r="D116"/>
  <c r="D97"/>
  <c r="D125"/>
  <c r="D121"/>
  <c r="D117"/>
  <c r="D113"/>
  <c r="D126" s="1"/>
  <c r="D94"/>
  <c r="D92"/>
  <c r="D101"/>
  <c r="D127"/>
  <c r="D122"/>
  <c r="D102"/>
  <c r="D124"/>
  <c r="D118"/>
  <c r="D114"/>
  <c r="D99"/>
  <c r="D96"/>
  <c r="D123"/>
  <c r="D119"/>
  <c r="D115"/>
  <c r="D95"/>
  <c r="D93"/>
  <c r="D91"/>
  <c r="D90"/>
  <c r="D120"/>
  <c r="D100"/>
  <c r="D103" l="1"/>
  <c r="D104" s="1"/>
  <c r="G78"/>
  <c r="H78" s="1"/>
  <c r="E77"/>
  <c r="G73"/>
  <c r="D111" l="1"/>
  <c r="G77"/>
  <c r="H73" s="1"/>
  <c r="E81"/>
  <c r="D83" s="1"/>
</calcChain>
</file>

<file path=xl/sharedStrings.xml><?xml version="1.0" encoding="utf-8"?>
<sst xmlns="http://schemas.openxmlformats.org/spreadsheetml/2006/main" count="307" uniqueCount="140">
  <si>
    <t>Time</t>
  </si>
  <si>
    <t>ave</t>
  </si>
  <si>
    <t>t =</t>
  </si>
  <si>
    <t>time</t>
  </si>
  <si>
    <t>Tempreature</t>
  </si>
  <si>
    <t>X1</t>
  </si>
  <si>
    <t>√2</t>
  </si>
  <si>
    <t>-√2</t>
  </si>
  <si>
    <r>
      <rPr>
        <sz val="14"/>
        <color theme="1"/>
        <rFont val="Calibri"/>
        <family val="2"/>
        <scheme val="minor"/>
      </rPr>
      <t>x</t>
    </r>
    <r>
      <rPr>
        <sz val="8"/>
        <color theme="1"/>
        <rFont val="Calibri"/>
        <family val="2"/>
        <scheme val="minor"/>
      </rPr>
      <t>1</t>
    </r>
  </si>
  <si>
    <r>
      <rPr>
        <sz val="14"/>
        <color theme="1"/>
        <rFont val="Calibri"/>
        <family val="2"/>
        <scheme val="minor"/>
      </rPr>
      <t>x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</si>
  <si>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rPr>
        <sz val="14"/>
        <color theme="1"/>
        <rFont val="Calibri"/>
        <family val="2"/>
        <scheme val="minor"/>
      </rPr>
      <t>x</t>
    </r>
    <r>
      <rPr>
        <sz val="14"/>
        <color theme="1"/>
        <rFont val="Calibri"/>
        <family val="2"/>
      </rPr>
      <t>²</t>
    </r>
    <r>
      <rPr>
        <sz val="8"/>
        <color theme="1"/>
        <rFont val="Calibri"/>
        <family val="2"/>
        <scheme val="minor"/>
      </rPr>
      <t>1</t>
    </r>
  </si>
  <si>
    <r>
      <rPr>
        <sz val="14"/>
        <color theme="1"/>
        <rFont val="Calibri"/>
        <family val="2"/>
        <scheme val="minor"/>
      </rPr>
      <t>x</t>
    </r>
    <r>
      <rPr>
        <sz val="14"/>
        <color theme="1"/>
        <rFont val="Calibri"/>
        <family val="2"/>
      </rPr>
      <t>²</t>
    </r>
    <r>
      <rPr>
        <sz val="8"/>
        <color theme="1"/>
        <rFont val="Calibri"/>
        <family val="2"/>
      </rPr>
      <t>2</t>
    </r>
  </si>
  <si>
    <r>
      <rPr>
        <sz val="14"/>
        <color theme="1"/>
        <rFont val="Calibri"/>
        <family val="2"/>
        <scheme val="minor"/>
      </rPr>
      <t>x</t>
    </r>
    <r>
      <rPr>
        <sz val="8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>x</t>
    </r>
    <r>
      <rPr>
        <sz val="8"/>
        <color theme="1"/>
        <rFont val="Calibri"/>
        <family val="2"/>
        <scheme val="minor"/>
      </rPr>
      <t>2</t>
    </r>
  </si>
  <si>
    <t>Origianl sand mass</t>
  </si>
  <si>
    <t>grams</t>
  </si>
  <si>
    <t>Empty Sieve mass (g)</t>
  </si>
  <si>
    <t>Sieve + sand mass (g)</t>
  </si>
  <si>
    <t>Base</t>
  </si>
  <si>
    <t>Percentage passing</t>
  </si>
  <si>
    <t>Total</t>
  </si>
  <si>
    <t>Temp\time</t>
  </si>
  <si>
    <t xml:space="preserve">T = </t>
  </si>
  <si>
    <t xml:space="preserve">t = </t>
  </si>
  <si>
    <t>The content of the sample is Olivine (Mg2(SiO4) and Calcium Sulfate Hydrate CaSO4 (H2O), about 50%/50% between them.</t>
  </si>
  <si>
    <t>SSres</t>
  </si>
  <si>
    <t>Actual</t>
  </si>
  <si>
    <t>Calc</t>
  </si>
  <si>
    <t>SSr</t>
  </si>
  <si>
    <t>Real av</t>
  </si>
  <si>
    <t>Pereability</t>
  </si>
  <si>
    <t>Source of variation</t>
  </si>
  <si>
    <t>Sum of Squares</t>
  </si>
  <si>
    <t>DOF</t>
  </si>
  <si>
    <t>Mean square</t>
  </si>
  <si>
    <t>P value</t>
  </si>
  <si>
    <t>Regression</t>
  </si>
  <si>
    <t>B1, B2,Bo</t>
  </si>
  <si>
    <t>all terms</t>
  </si>
  <si>
    <t>linear</t>
  </si>
  <si>
    <t>t</t>
  </si>
  <si>
    <t>T</t>
  </si>
  <si>
    <t>sum</t>
  </si>
  <si>
    <t>SSquad</t>
  </si>
  <si>
    <t>SSlinear</t>
  </si>
  <si>
    <t>Quad</t>
  </si>
  <si>
    <t>Sum</t>
  </si>
  <si>
    <t>B11, B22,B12.Bo</t>
  </si>
  <si>
    <t>Residual</t>
  </si>
  <si>
    <t>Lack of fit</t>
  </si>
  <si>
    <t>Pure error</t>
  </si>
  <si>
    <t>From website</t>
  </si>
  <si>
    <t>http://home.ubalt.edu/ntsbarsh/Business-stat/otherapplets/pvalues.htm</t>
  </si>
  <si>
    <t>Permeability experimental results</t>
  </si>
  <si>
    <t xml:space="preserve"> =</t>
  </si>
  <si>
    <t xml:space="preserve">  1.0e+003 *</t>
  </si>
  <si>
    <t>Experimental compressive load</t>
  </si>
  <si>
    <t>x2</t>
  </si>
  <si>
    <t>x1</t>
  </si>
  <si>
    <t xml:space="preserve">Compressive strength </t>
  </si>
  <si>
    <t>B11, B22,B12;Bo</t>
  </si>
  <si>
    <r>
      <t>R squared = SS</t>
    </r>
    <r>
      <rPr>
        <b/>
        <sz val="8"/>
        <color rgb="FFFF0000"/>
        <rFont val="Calibri"/>
        <family val="2"/>
        <scheme val="minor"/>
      </rPr>
      <t>R</t>
    </r>
    <r>
      <rPr>
        <b/>
        <sz val="11"/>
        <color rgb="FFFF0000"/>
        <rFont val="Calibri"/>
        <family val="2"/>
        <scheme val="minor"/>
      </rPr>
      <t xml:space="preserve"> / SS</t>
    </r>
    <r>
      <rPr>
        <b/>
        <sz val="8"/>
        <color rgb="FFFF0000"/>
        <rFont val="Calibri"/>
        <family val="2"/>
        <scheme val="minor"/>
      </rPr>
      <t>T</t>
    </r>
  </si>
  <si>
    <t>Where ssr = sum of squares regression</t>
  </si>
  <si>
    <t>and SST = sum of squares total</t>
  </si>
  <si>
    <t>mD</t>
  </si>
  <si>
    <t>(milli darcy's)</t>
  </si>
  <si>
    <t>X2</t>
  </si>
  <si>
    <t xml:space="preserve">regression </t>
  </si>
  <si>
    <t>mean</t>
  </si>
  <si>
    <t>Sum total of linear and quard</t>
  </si>
  <si>
    <t>s</t>
  </si>
  <si>
    <t>s term</t>
  </si>
  <si>
    <t>t term</t>
  </si>
  <si>
    <t xml:space="preserve">   The two-tailed P value equals 0.0036</t>
  </si>
  <si>
    <t>from http://www.graphpad.com/quickcalcs/Pvalue2.cfm</t>
  </si>
  <si>
    <t>Taken at 0.05 (95 % confidence)</t>
  </si>
  <si>
    <t>The two-tailed P value equals 0.0027</t>
  </si>
  <si>
    <t>SSr total</t>
  </si>
  <si>
    <t>F value</t>
  </si>
  <si>
    <t>res = residual(error)</t>
  </si>
  <si>
    <t>&gt;0.0001</t>
  </si>
  <si>
    <t xml:space="preserve">t = 3.3 </t>
  </si>
  <si>
    <t>Fo</t>
  </si>
  <si>
    <t xml:space="preserve">Total SSres </t>
  </si>
  <si>
    <t>Experimnental values</t>
  </si>
  <si>
    <t>Load (N)</t>
  </si>
  <si>
    <r>
      <t>Stress (N/m</t>
    </r>
    <r>
      <rPr>
        <b/>
        <sz val="11"/>
        <color theme="1"/>
        <rFont val="Calibri"/>
        <family val="2"/>
      </rPr>
      <t>²</t>
    </r>
    <r>
      <rPr>
        <b/>
        <sz val="11"/>
        <color theme="1"/>
        <rFont val="Calibri"/>
        <family val="2"/>
        <scheme val="minor"/>
      </rPr>
      <t>)</t>
    </r>
  </si>
  <si>
    <t>Ultimate compressive stress values (MPa)</t>
  </si>
  <si>
    <t xml:space="preserve"> Loads (N)</t>
  </si>
  <si>
    <t>t (hrs)</t>
  </si>
  <si>
    <r>
      <t>T (</t>
    </r>
    <r>
      <rPr>
        <b/>
        <sz val="11"/>
        <color theme="1"/>
        <rFont val="Calibri"/>
        <family val="2"/>
      </rPr>
      <t>°C)</t>
    </r>
  </si>
  <si>
    <t xml:space="preserve">Anaylsis of Variance (ANOVA) Compressive strength </t>
  </si>
  <si>
    <t>B1, B2;Bo</t>
  </si>
  <si>
    <t>@ 95 % confidence</t>
  </si>
  <si>
    <r>
      <t>R</t>
    </r>
    <r>
      <rPr>
        <sz val="11"/>
        <color theme="1"/>
        <rFont val="Calibri"/>
        <family val="2"/>
      </rPr>
      <t>²</t>
    </r>
    <r>
      <rPr>
        <sz val="11"/>
        <color theme="1"/>
        <rFont val="Calibri"/>
        <family val="2"/>
        <scheme val="minor"/>
      </rPr>
      <t xml:space="preserve"> =</t>
    </r>
  </si>
  <si>
    <t>Real</t>
  </si>
  <si>
    <r>
      <t>Stresses N/m</t>
    </r>
    <r>
      <rPr>
        <b/>
        <sz val="11"/>
        <color theme="1"/>
        <rFont val="Calibri"/>
        <family val="2"/>
      </rPr>
      <t>²</t>
    </r>
  </si>
  <si>
    <r>
      <rPr>
        <sz val="16"/>
        <color theme="1"/>
        <rFont val="Calibri"/>
        <family val="2"/>
        <scheme val="minor"/>
      </rPr>
      <t>SS</t>
    </r>
    <r>
      <rPr>
        <sz val="11"/>
        <color theme="1"/>
        <rFont val="Calibri"/>
        <family val="2"/>
        <scheme val="minor"/>
      </rPr>
      <t>lof</t>
    </r>
  </si>
  <si>
    <r>
      <rPr>
        <sz val="16"/>
        <color theme="1"/>
        <rFont val="Calibri"/>
        <family val="2"/>
        <scheme val="minor"/>
      </rPr>
      <t>SS</t>
    </r>
    <r>
      <rPr>
        <sz val="11"/>
        <color theme="1"/>
        <rFont val="Calibri"/>
        <family val="2"/>
        <scheme val="minor"/>
      </rPr>
      <t>pe</t>
    </r>
  </si>
  <si>
    <r>
      <rPr>
        <sz val="16"/>
        <color theme="1"/>
        <rFont val="Calibri"/>
        <family val="2"/>
        <scheme val="minor"/>
      </rPr>
      <t>SS</t>
    </r>
    <r>
      <rPr>
        <sz val="11"/>
        <color theme="1"/>
        <rFont val="Calibri"/>
        <family val="2"/>
        <scheme val="minor"/>
      </rPr>
      <t>res</t>
    </r>
  </si>
  <si>
    <t>Value</t>
  </si>
  <si>
    <r>
      <t>Sieve size (</t>
    </r>
    <r>
      <rPr>
        <b/>
        <sz val="11"/>
        <color theme="1"/>
        <rFont val="Calibri"/>
        <family val="2"/>
      </rPr>
      <t>µm)</t>
    </r>
  </si>
  <si>
    <t>%  retained</t>
  </si>
  <si>
    <t xml:space="preserve">Interesting – explains why it is easy to break down under mechanical action.  </t>
  </si>
  <si>
    <t>This means that you should be able to dissolve 50% by weight with HCl  (the calcium sulphate), the remainder should be the olivine.</t>
  </si>
  <si>
    <t>time\temp</t>
  </si>
  <si>
    <t>Permeability (mD)</t>
  </si>
  <si>
    <t>Calculated values</t>
  </si>
  <si>
    <t>ave % diff</t>
  </si>
  <si>
    <t>% diff</t>
  </si>
  <si>
    <t>Response</t>
  </si>
  <si>
    <t>B</t>
  </si>
  <si>
    <t>P</t>
  </si>
  <si>
    <t>A</t>
  </si>
  <si>
    <t>DF</t>
  </si>
  <si>
    <t>F</t>
  </si>
  <si>
    <t>The analysis was d</t>
  </si>
  <si>
    <t>one using</t>
  </si>
  <si>
    <t>coded u</t>
  </si>
  <si>
    <t>nits.</t>
  </si>
  <si>
    <t>SE Coef</t>
  </si>
  <si>
    <t>S = 225.4   R-Sq =</t>
  </si>
  <si>
    <t>R-Sq(adj</t>
  </si>
  <si>
    <t>) = 49.7%</t>
  </si>
  <si>
    <t>Seq SS</t>
  </si>
  <si>
    <t>Adj SS</t>
  </si>
  <si>
    <t>Adj MS</t>
  </si>
  <si>
    <t>X1,X2</t>
  </si>
  <si>
    <t>Source</t>
  </si>
  <si>
    <t>Linear</t>
  </si>
  <si>
    <t>Square</t>
  </si>
  <si>
    <t>Interaction</t>
  </si>
  <si>
    <t>Residual Error</t>
  </si>
  <si>
    <t>Lack-of-Fit</t>
  </si>
  <si>
    <t>Pure Error</t>
  </si>
  <si>
    <t>Term</t>
  </si>
  <si>
    <t>Coef</t>
  </si>
  <si>
    <t>Constant</t>
  </si>
  <si>
    <t>A*A</t>
  </si>
  <si>
    <t>B*B</t>
  </si>
  <si>
    <t>A*B</t>
  </si>
</sst>
</file>

<file path=xl/styles.xml><?xml version="1.0" encoding="utf-8"?>
<styleSheet xmlns="http://schemas.openxmlformats.org/spreadsheetml/2006/main">
  <numFmts count="1">
    <numFmt numFmtId="164" formatCode="0.000000000000000000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14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9.9"/>
      <color theme="10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0" fillId="0" borderId="3" xfId="0" applyBorder="1"/>
    <xf numFmtId="0" fontId="1" fillId="0" borderId="1" xfId="0" applyFont="1" applyBorder="1"/>
    <xf numFmtId="0" fontId="8" fillId="0" borderId="17" xfId="0" applyFont="1" applyBorder="1"/>
    <xf numFmtId="0" fontId="8" fillId="0" borderId="16" xfId="0" applyFont="1" applyBorder="1"/>
    <xf numFmtId="0" fontId="0" fillId="0" borderId="0" xfId="0" quotePrefix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0" borderId="21" xfId="0" quotePrefix="1" applyFont="1" applyBorder="1" applyAlignment="1">
      <alignment horizontal="right"/>
    </xf>
    <xf numFmtId="0" fontId="0" fillId="0" borderId="21" xfId="0" applyBorder="1" applyAlignment="1">
      <alignment horizontal="right"/>
    </xf>
    <xf numFmtId="0" fontId="2" fillId="0" borderId="23" xfId="0" quotePrefix="1" applyFont="1" applyBorder="1" applyAlignment="1">
      <alignment horizontal="right"/>
    </xf>
    <xf numFmtId="0" fontId="0" fillId="0" borderId="24" xfId="0" applyBorder="1"/>
    <xf numFmtId="0" fontId="0" fillId="0" borderId="25" xfId="0" applyBorder="1"/>
    <xf numFmtId="2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3" xfId="0" applyBorder="1"/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/>
    <xf numFmtId="0" fontId="0" fillId="0" borderId="22" xfId="0" applyBorder="1" applyAlignment="1">
      <alignment horizontal="center"/>
    </xf>
    <xf numFmtId="0" fontId="1" fillId="0" borderId="23" xfId="0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2" xfId="0" applyFont="1" applyBorder="1"/>
    <xf numFmtId="0" fontId="1" fillId="0" borderId="0" xfId="0" applyFont="1" applyFill="1" applyBorder="1" applyAlignment="1"/>
    <xf numFmtId="0" fontId="0" fillId="0" borderId="1" xfId="0" applyFont="1" applyBorder="1" applyAlignment="1">
      <alignment horizontal="center"/>
    </xf>
    <xf numFmtId="0" fontId="12" fillId="0" borderId="28" xfId="0" applyFont="1" applyBorder="1"/>
    <xf numFmtId="0" fontId="11" fillId="0" borderId="28" xfId="0" applyFont="1" applyBorder="1"/>
    <xf numFmtId="0" fontId="0" fillId="0" borderId="28" xfId="0" applyBorder="1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0" fillId="0" borderId="26" xfId="0" applyBorder="1"/>
    <xf numFmtId="0" fontId="1" fillId="0" borderId="17" xfId="0" applyFont="1" applyBorder="1"/>
    <xf numFmtId="0" fontId="1" fillId="0" borderId="35" xfId="0" applyFont="1" applyBorder="1"/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20" xfId="0" applyFont="1" applyBorder="1"/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0" xfId="1" applyAlignment="1" applyProtection="1"/>
    <xf numFmtId="10" fontId="0" fillId="0" borderId="0" xfId="0" applyNumberFormat="1"/>
    <xf numFmtId="0" fontId="16" fillId="0" borderId="1" xfId="0" applyFont="1" applyBorder="1" applyAlignment="1">
      <alignment horizontal="center"/>
    </xf>
    <xf numFmtId="0" fontId="16" fillId="0" borderId="0" xfId="0" applyFont="1"/>
    <xf numFmtId="2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5" borderId="13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GB"/>
            </a:pPr>
            <a:r>
              <a:rPr lang="en-GB"/>
              <a:t>Experimental</a:t>
            </a:r>
            <a:r>
              <a:rPr lang="en-GB" baseline="0"/>
              <a:t> design</a:t>
            </a:r>
            <a:endParaRPr lang="en-GB"/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Val val="1"/>
            <c:showCatName val="1"/>
          </c:dLbls>
          <c:xVal>
            <c:numRef>
              <c:f>'Experimentla design'!$B$38:$B$46</c:f>
              <c:numCache>
                <c:formatCode>General</c:formatCode>
                <c:ptCount val="9"/>
                <c:pt idx="0">
                  <c:v>130</c:v>
                </c:pt>
                <c:pt idx="1">
                  <c:v>150</c:v>
                </c:pt>
                <c:pt idx="2">
                  <c:v>150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250</c:v>
                </c:pt>
                <c:pt idx="7">
                  <c:v>250</c:v>
                </c:pt>
                <c:pt idx="8">
                  <c:v>270</c:v>
                </c:pt>
              </c:numCache>
            </c:numRef>
          </c:xVal>
          <c:yVal>
            <c:numRef>
              <c:f>'Experimentla design'!$C$38:$C$46</c:f>
              <c:numCache>
                <c:formatCode>General</c:formatCode>
                <c:ptCount val="9"/>
                <c:pt idx="0">
                  <c:v>6</c:v>
                </c:pt>
                <c:pt idx="1">
                  <c:v>4</c:v>
                </c:pt>
                <c:pt idx="2">
                  <c:v>8</c:v>
                </c:pt>
                <c:pt idx="3">
                  <c:v>3.17</c:v>
                </c:pt>
                <c:pt idx="4">
                  <c:v>6</c:v>
                </c:pt>
                <c:pt idx="5">
                  <c:v>8.23</c:v>
                </c:pt>
                <c:pt idx="6">
                  <c:v>4</c:v>
                </c:pt>
                <c:pt idx="7">
                  <c:v>8</c:v>
                </c:pt>
                <c:pt idx="8">
                  <c:v>6</c:v>
                </c:pt>
              </c:numCache>
            </c:numRef>
          </c:yVal>
        </c:ser>
        <c:axId val="104223488"/>
        <c:axId val="104225408"/>
      </c:scatterChart>
      <c:valAx>
        <c:axId val="104223488"/>
        <c:scaling>
          <c:orientation val="minMax"/>
          <c:max val="300"/>
          <c:min val="100"/>
        </c:scaling>
        <c:axPos val="b"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US"/>
                  <a:t>Tempreature (°C)</a:t>
                </a: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04225408"/>
        <c:crosses val="autoZero"/>
        <c:crossBetween val="midCat"/>
        <c:majorUnit val="50"/>
      </c:valAx>
      <c:valAx>
        <c:axId val="104225408"/>
        <c:scaling>
          <c:orientation val="minMax"/>
          <c:min val="2"/>
        </c:scaling>
        <c:axPos val="l"/>
        <c:majorGridlines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US"/>
                  <a:t>Time (hours)</a:t>
                </a: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04223488"/>
        <c:crosses val="autoZero"/>
        <c:crossBetween val="midCat"/>
        <c:majorUnit val="2"/>
      </c:valAx>
    </c:plotArea>
    <c:plotVisOnly val="1"/>
  </c:chart>
  <c:spPr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GB"/>
            </a:pPr>
            <a:r>
              <a:rPr lang="en-US"/>
              <a:t>Permeability Vs Temperature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t = 3.3 hours</c:v>
          </c:tx>
          <c:xVal>
            <c:numRef>
              <c:f>'Permeability model'!$A$6:$A$20</c:f>
              <c:numCache>
                <c:formatCode>General</c:formatCode>
                <c:ptCount val="15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170</c:v>
                </c:pt>
                <c:pt idx="5">
                  <c:v>180</c:v>
                </c:pt>
                <c:pt idx="6">
                  <c:v>190</c:v>
                </c:pt>
                <c:pt idx="7">
                  <c:v>200</c:v>
                </c:pt>
                <c:pt idx="8">
                  <c:v>210</c:v>
                </c:pt>
                <c:pt idx="9">
                  <c:v>220</c:v>
                </c:pt>
                <c:pt idx="10">
                  <c:v>230</c:v>
                </c:pt>
                <c:pt idx="11">
                  <c:v>240</c:v>
                </c:pt>
                <c:pt idx="12">
                  <c:v>250</c:v>
                </c:pt>
                <c:pt idx="13">
                  <c:v>260</c:v>
                </c:pt>
                <c:pt idx="14">
                  <c:v>270</c:v>
                </c:pt>
              </c:numCache>
            </c:numRef>
          </c:xVal>
          <c:yVal>
            <c:numRef>
              <c:f>'Permeability model'!$B$6:$B$20</c:f>
              <c:numCache>
                <c:formatCode>General</c:formatCode>
                <c:ptCount val="15"/>
                <c:pt idx="0">
                  <c:v>972.24257499999942</c:v>
                </c:pt>
                <c:pt idx="1">
                  <c:v>1028.2745749999995</c:v>
                </c:pt>
                <c:pt idx="2">
                  <c:v>1085.7065749999995</c:v>
                </c:pt>
                <c:pt idx="3">
                  <c:v>1144.5385749999991</c:v>
                </c:pt>
                <c:pt idx="4">
                  <c:v>1204.770575</c:v>
                </c:pt>
                <c:pt idx="5">
                  <c:v>1266.4025749999998</c:v>
                </c:pt>
                <c:pt idx="6">
                  <c:v>1329.4345749999993</c:v>
                </c:pt>
                <c:pt idx="7">
                  <c:v>1393.8665749999998</c:v>
                </c:pt>
                <c:pt idx="8">
                  <c:v>1459.6985749999994</c:v>
                </c:pt>
                <c:pt idx="9">
                  <c:v>1526.9305749999996</c:v>
                </c:pt>
                <c:pt idx="10">
                  <c:v>1595.5625749999995</c:v>
                </c:pt>
                <c:pt idx="11">
                  <c:v>1665.5945749999996</c:v>
                </c:pt>
                <c:pt idx="12">
                  <c:v>1737.0265749999996</c:v>
                </c:pt>
                <c:pt idx="13">
                  <c:v>1809.8585749999995</c:v>
                </c:pt>
                <c:pt idx="14">
                  <c:v>1884.0905749999995</c:v>
                </c:pt>
              </c:numCache>
            </c:numRef>
          </c:yVal>
          <c:smooth val="1"/>
        </c:ser>
        <c:ser>
          <c:idx val="1"/>
          <c:order val="1"/>
          <c:tx>
            <c:v>t = 4 hours</c:v>
          </c:tx>
          <c:xVal>
            <c:numRef>
              <c:f>'Permeability model'!$A$6:$A$20</c:f>
              <c:numCache>
                <c:formatCode>General</c:formatCode>
                <c:ptCount val="15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170</c:v>
                </c:pt>
                <c:pt idx="5">
                  <c:v>180</c:v>
                </c:pt>
                <c:pt idx="6">
                  <c:v>190</c:v>
                </c:pt>
                <c:pt idx="7">
                  <c:v>200</c:v>
                </c:pt>
                <c:pt idx="8">
                  <c:v>210</c:v>
                </c:pt>
                <c:pt idx="9">
                  <c:v>220</c:v>
                </c:pt>
                <c:pt idx="10">
                  <c:v>230</c:v>
                </c:pt>
                <c:pt idx="11">
                  <c:v>240</c:v>
                </c:pt>
                <c:pt idx="12">
                  <c:v>250</c:v>
                </c:pt>
                <c:pt idx="13">
                  <c:v>260</c:v>
                </c:pt>
                <c:pt idx="14">
                  <c:v>270</c:v>
                </c:pt>
              </c:numCache>
            </c:numRef>
          </c:xVal>
          <c:yVal>
            <c:numRef>
              <c:f>'Permeability model'!$C$6:$C$20</c:f>
              <c:numCache>
                <c:formatCode>General</c:formatCode>
                <c:ptCount val="15"/>
                <c:pt idx="0">
                  <c:v>1411.0199999999995</c:v>
                </c:pt>
                <c:pt idx="1">
                  <c:v>1448.4599999999996</c:v>
                </c:pt>
                <c:pt idx="2">
                  <c:v>1487.2999999999995</c:v>
                </c:pt>
                <c:pt idx="3">
                  <c:v>1527.5399999999993</c:v>
                </c:pt>
                <c:pt idx="4">
                  <c:v>1569.18</c:v>
                </c:pt>
                <c:pt idx="5">
                  <c:v>1612.2199999999993</c:v>
                </c:pt>
                <c:pt idx="6">
                  <c:v>1656.6599999999994</c:v>
                </c:pt>
                <c:pt idx="7">
                  <c:v>1702.4999999999998</c:v>
                </c:pt>
                <c:pt idx="8">
                  <c:v>1749.7399999999991</c:v>
                </c:pt>
                <c:pt idx="9">
                  <c:v>1798.3799999999997</c:v>
                </c:pt>
                <c:pt idx="10">
                  <c:v>1848.42</c:v>
                </c:pt>
                <c:pt idx="11">
                  <c:v>1899.8599999999992</c:v>
                </c:pt>
                <c:pt idx="12">
                  <c:v>1952.6999999999998</c:v>
                </c:pt>
                <c:pt idx="13">
                  <c:v>2006.9399999999996</c:v>
                </c:pt>
                <c:pt idx="14">
                  <c:v>2062.5799999999995</c:v>
                </c:pt>
              </c:numCache>
            </c:numRef>
          </c:yVal>
          <c:smooth val="1"/>
        </c:ser>
        <c:ser>
          <c:idx val="2"/>
          <c:order val="2"/>
          <c:tx>
            <c:v>t = 5 hours</c:v>
          </c:tx>
          <c:xVal>
            <c:numRef>
              <c:f>'Permeability model'!$A$6:$A$20</c:f>
              <c:numCache>
                <c:formatCode>General</c:formatCode>
                <c:ptCount val="15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170</c:v>
                </c:pt>
                <c:pt idx="5">
                  <c:v>180</c:v>
                </c:pt>
                <c:pt idx="6">
                  <c:v>190</c:v>
                </c:pt>
                <c:pt idx="7">
                  <c:v>200</c:v>
                </c:pt>
                <c:pt idx="8">
                  <c:v>210</c:v>
                </c:pt>
                <c:pt idx="9">
                  <c:v>220</c:v>
                </c:pt>
                <c:pt idx="10">
                  <c:v>230</c:v>
                </c:pt>
                <c:pt idx="11">
                  <c:v>240</c:v>
                </c:pt>
                <c:pt idx="12">
                  <c:v>250</c:v>
                </c:pt>
                <c:pt idx="13">
                  <c:v>260</c:v>
                </c:pt>
                <c:pt idx="14">
                  <c:v>270</c:v>
                </c:pt>
              </c:numCache>
            </c:numRef>
          </c:xVal>
          <c:yVal>
            <c:numRef>
              <c:f>'Permeability model'!$D$6:$D$20</c:f>
              <c:numCache>
                <c:formatCode>General</c:formatCode>
                <c:ptCount val="15"/>
                <c:pt idx="0">
                  <c:v>1833.0699999999995</c:v>
                </c:pt>
                <c:pt idx="1">
                  <c:v>1848.1099999999997</c:v>
                </c:pt>
                <c:pt idx="2">
                  <c:v>1864.549999999999</c:v>
                </c:pt>
                <c:pt idx="3">
                  <c:v>1882.3899999999992</c:v>
                </c:pt>
                <c:pt idx="4">
                  <c:v>1901.63</c:v>
                </c:pt>
                <c:pt idx="5">
                  <c:v>1922.2699999999993</c:v>
                </c:pt>
                <c:pt idx="6">
                  <c:v>1944.3099999999995</c:v>
                </c:pt>
                <c:pt idx="7">
                  <c:v>1967.7499999999995</c:v>
                </c:pt>
                <c:pt idx="8">
                  <c:v>1992.5899999999992</c:v>
                </c:pt>
                <c:pt idx="9">
                  <c:v>2018.8299999999995</c:v>
                </c:pt>
                <c:pt idx="10">
                  <c:v>2046.4700000000003</c:v>
                </c:pt>
                <c:pt idx="11">
                  <c:v>2075.5099999999993</c:v>
                </c:pt>
                <c:pt idx="12">
                  <c:v>2105.9499999999998</c:v>
                </c:pt>
                <c:pt idx="13">
                  <c:v>2137.7899999999995</c:v>
                </c:pt>
                <c:pt idx="14">
                  <c:v>2171.0299999999993</c:v>
                </c:pt>
              </c:numCache>
            </c:numRef>
          </c:yVal>
          <c:smooth val="1"/>
        </c:ser>
        <c:ser>
          <c:idx val="3"/>
          <c:order val="3"/>
          <c:tx>
            <c:v>t = 6 hours</c:v>
          </c:tx>
          <c:xVal>
            <c:numRef>
              <c:f>'Permeability model'!$A$6:$A$20</c:f>
              <c:numCache>
                <c:formatCode>General</c:formatCode>
                <c:ptCount val="15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170</c:v>
                </c:pt>
                <c:pt idx="5">
                  <c:v>180</c:v>
                </c:pt>
                <c:pt idx="6">
                  <c:v>190</c:v>
                </c:pt>
                <c:pt idx="7">
                  <c:v>200</c:v>
                </c:pt>
                <c:pt idx="8">
                  <c:v>210</c:v>
                </c:pt>
                <c:pt idx="9">
                  <c:v>220</c:v>
                </c:pt>
                <c:pt idx="10">
                  <c:v>230</c:v>
                </c:pt>
                <c:pt idx="11">
                  <c:v>240</c:v>
                </c:pt>
                <c:pt idx="12">
                  <c:v>250</c:v>
                </c:pt>
                <c:pt idx="13">
                  <c:v>260</c:v>
                </c:pt>
                <c:pt idx="14">
                  <c:v>270</c:v>
                </c:pt>
              </c:numCache>
            </c:numRef>
          </c:xVal>
          <c:yVal>
            <c:numRef>
              <c:f>'Permeability model'!$E$6:$E$20</c:f>
              <c:numCache>
                <c:formatCode>General</c:formatCode>
                <c:ptCount val="15"/>
                <c:pt idx="0">
                  <c:v>2138.6199999999994</c:v>
                </c:pt>
                <c:pt idx="1">
                  <c:v>2131.2599999999993</c:v>
                </c:pt>
                <c:pt idx="2">
                  <c:v>2125.2999999999988</c:v>
                </c:pt>
                <c:pt idx="3">
                  <c:v>2120.7399999999993</c:v>
                </c:pt>
                <c:pt idx="4">
                  <c:v>2117.58</c:v>
                </c:pt>
                <c:pt idx="5">
                  <c:v>2115.8199999999993</c:v>
                </c:pt>
                <c:pt idx="6">
                  <c:v>2115.4599999999991</c:v>
                </c:pt>
                <c:pt idx="7">
                  <c:v>2116.4999999999995</c:v>
                </c:pt>
                <c:pt idx="8">
                  <c:v>2118.9399999999991</c:v>
                </c:pt>
                <c:pt idx="9">
                  <c:v>2122.7799999999997</c:v>
                </c:pt>
                <c:pt idx="10">
                  <c:v>2128.02</c:v>
                </c:pt>
                <c:pt idx="11">
                  <c:v>2134.6599999999989</c:v>
                </c:pt>
                <c:pt idx="12">
                  <c:v>2142.6999999999998</c:v>
                </c:pt>
                <c:pt idx="13">
                  <c:v>2152.1399999999994</c:v>
                </c:pt>
                <c:pt idx="14">
                  <c:v>2162.9799999999996</c:v>
                </c:pt>
              </c:numCache>
            </c:numRef>
          </c:yVal>
          <c:smooth val="1"/>
        </c:ser>
        <c:ser>
          <c:idx val="4"/>
          <c:order val="4"/>
          <c:tx>
            <c:v>t = 7 hours</c:v>
          </c:tx>
          <c:xVal>
            <c:numRef>
              <c:f>'Permeability model'!$A$6:$A$20</c:f>
              <c:numCache>
                <c:formatCode>General</c:formatCode>
                <c:ptCount val="15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170</c:v>
                </c:pt>
                <c:pt idx="5">
                  <c:v>180</c:v>
                </c:pt>
                <c:pt idx="6">
                  <c:v>190</c:v>
                </c:pt>
                <c:pt idx="7">
                  <c:v>200</c:v>
                </c:pt>
                <c:pt idx="8">
                  <c:v>210</c:v>
                </c:pt>
                <c:pt idx="9">
                  <c:v>220</c:v>
                </c:pt>
                <c:pt idx="10">
                  <c:v>230</c:v>
                </c:pt>
                <c:pt idx="11">
                  <c:v>240</c:v>
                </c:pt>
                <c:pt idx="12">
                  <c:v>250</c:v>
                </c:pt>
                <c:pt idx="13">
                  <c:v>260</c:v>
                </c:pt>
                <c:pt idx="14">
                  <c:v>270</c:v>
                </c:pt>
              </c:numCache>
            </c:numRef>
          </c:xVal>
          <c:yVal>
            <c:numRef>
              <c:f>'Permeability model'!$F$6:$F$20</c:f>
              <c:numCache>
                <c:formatCode>General</c:formatCode>
                <c:ptCount val="15"/>
                <c:pt idx="0">
                  <c:v>2327.6699999999992</c:v>
                </c:pt>
                <c:pt idx="1">
                  <c:v>2297.9099999999994</c:v>
                </c:pt>
                <c:pt idx="2">
                  <c:v>2269.5499999999988</c:v>
                </c:pt>
                <c:pt idx="3">
                  <c:v>2242.5899999999992</c:v>
                </c:pt>
                <c:pt idx="4">
                  <c:v>2217.0300000000002</c:v>
                </c:pt>
                <c:pt idx="5">
                  <c:v>2192.869999999999</c:v>
                </c:pt>
                <c:pt idx="6">
                  <c:v>2170.1099999999992</c:v>
                </c:pt>
                <c:pt idx="7">
                  <c:v>2148.7499999999995</c:v>
                </c:pt>
                <c:pt idx="8">
                  <c:v>2128.79</c:v>
                </c:pt>
                <c:pt idx="9">
                  <c:v>2110.2299999999996</c:v>
                </c:pt>
                <c:pt idx="10">
                  <c:v>2093.0699999999988</c:v>
                </c:pt>
                <c:pt idx="11">
                  <c:v>2077.31</c:v>
                </c:pt>
                <c:pt idx="12">
                  <c:v>2062.9500000000007</c:v>
                </c:pt>
                <c:pt idx="13">
                  <c:v>2049.9900000000002</c:v>
                </c:pt>
                <c:pt idx="14">
                  <c:v>2038.4299999999985</c:v>
                </c:pt>
              </c:numCache>
            </c:numRef>
          </c:yVal>
          <c:smooth val="1"/>
        </c:ser>
        <c:ser>
          <c:idx val="5"/>
          <c:order val="5"/>
          <c:tx>
            <c:v>t = 8 hours</c:v>
          </c:tx>
          <c:xVal>
            <c:numRef>
              <c:f>'Permeability model'!$A$6:$A$20</c:f>
              <c:numCache>
                <c:formatCode>General</c:formatCode>
                <c:ptCount val="15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170</c:v>
                </c:pt>
                <c:pt idx="5">
                  <c:v>180</c:v>
                </c:pt>
                <c:pt idx="6">
                  <c:v>190</c:v>
                </c:pt>
                <c:pt idx="7">
                  <c:v>200</c:v>
                </c:pt>
                <c:pt idx="8">
                  <c:v>210</c:v>
                </c:pt>
                <c:pt idx="9">
                  <c:v>220</c:v>
                </c:pt>
                <c:pt idx="10">
                  <c:v>230</c:v>
                </c:pt>
                <c:pt idx="11">
                  <c:v>240</c:v>
                </c:pt>
                <c:pt idx="12">
                  <c:v>250</c:v>
                </c:pt>
                <c:pt idx="13">
                  <c:v>260</c:v>
                </c:pt>
                <c:pt idx="14">
                  <c:v>270</c:v>
                </c:pt>
              </c:numCache>
            </c:numRef>
          </c:xVal>
          <c:yVal>
            <c:numRef>
              <c:f>'Permeability model'!$G$6:$G$20</c:f>
              <c:numCache>
                <c:formatCode>General</c:formatCode>
                <c:ptCount val="15"/>
                <c:pt idx="0">
                  <c:v>2400.2199999999993</c:v>
                </c:pt>
                <c:pt idx="1">
                  <c:v>2348.0600000000004</c:v>
                </c:pt>
                <c:pt idx="2">
                  <c:v>2297.2999999999988</c:v>
                </c:pt>
                <c:pt idx="3">
                  <c:v>2247.940000000001</c:v>
                </c:pt>
                <c:pt idx="4">
                  <c:v>2199.9799999999991</c:v>
                </c:pt>
                <c:pt idx="5">
                  <c:v>2153.4199999999983</c:v>
                </c:pt>
                <c:pt idx="6">
                  <c:v>2108.2600000000011</c:v>
                </c:pt>
                <c:pt idx="7">
                  <c:v>2064.4999999999995</c:v>
                </c:pt>
                <c:pt idx="8">
                  <c:v>2022.1399999999999</c:v>
                </c:pt>
                <c:pt idx="9">
                  <c:v>1981.1799999999976</c:v>
                </c:pt>
                <c:pt idx="10">
                  <c:v>1941.619999999999</c:v>
                </c:pt>
                <c:pt idx="11">
                  <c:v>1903.46</c:v>
                </c:pt>
                <c:pt idx="12">
                  <c:v>1866.7000000000007</c:v>
                </c:pt>
                <c:pt idx="13">
                  <c:v>1831.3400000000001</c:v>
                </c:pt>
                <c:pt idx="14">
                  <c:v>1797.3799999999983</c:v>
                </c:pt>
              </c:numCache>
            </c:numRef>
          </c:yVal>
          <c:smooth val="1"/>
        </c:ser>
        <c:ser>
          <c:idx val="6"/>
          <c:order val="6"/>
          <c:tx>
            <c:v>t = 8.8 hours</c:v>
          </c:tx>
          <c:xVal>
            <c:numRef>
              <c:f>'Permeability model'!$A$6:$A$20</c:f>
              <c:numCache>
                <c:formatCode>General</c:formatCode>
                <c:ptCount val="15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170</c:v>
                </c:pt>
                <c:pt idx="5">
                  <c:v>180</c:v>
                </c:pt>
                <c:pt idx="6">
                  <c:v>190</c:v>
                </c:pt>
                <c:pt idx="7">
                  <c:v>200</c:v>
                </c:pt>
                <c:pt idx="8">
                  <c:v>210</c:v>
                </c:pt>
                <c:pt idx="9">
                  <c:v>220</c:v>
                </c:pt>
                <c:pt idx="10">
                  <c:v>230</c:v>
                </c:pt>
                <c:pt idx="11">
                  <c:v>240</c:v>
                </c:pt>
                <c:pt idx="12">
                  <c:v>250</c:v>
                </c:pt>
                <c:pt idx="13">
                  <c:v>260</c:v>
                </c:pt>
                <c:pt idx="14">
                  <c:v>270</c:v>
                </c:pt>
              </c:numCache>
            </c:numRef>
          </c:xVal>
          <c:yVal>
            <c:numRef>
              <c:f>'Permeability model'!$H$6:$H$20</c:f>
              <c:numCache>
                <c:formatCode>General</c:formatCode>
                <c:ptCount val="15"/>
                <c:pt idx="0">
                  <c:v>2374.3799999999983</c:v>
                </c:pt>
                <c:pt idx="1">
                  <c:v>2304.2999999999993</c:v>
                </c:pt>
                <c:pt idx="2">
                  <c:v>2235.6199999999976</c:v>
                </c:pt>
                <c:pt idx="3">
                  <c:v>2168.3399999999997</c:v>
                </c:pt>
                <c:pt idx="4">
                  <c:v>2102.4599999999978</c:v>
                </c:pt>
                <c:pt idx="5">
                  <c:v>2037.9799999999968</c:v>
                </c:pt>
                <c:pt idx="6">
                  <c:v>1974.8999999999996</c:v>
                </c:pt>
                <c:pt idx="7">
                  <c:v>1913.219999999998</c:v>
                </c:pt>
                <c:pt idx="8">
                  <c:v>1852.9399999999987</c:v>
                </c:pt>
                <c:pt idx="9">
                  <c:v>1794.0599999999959</c:v>
                </c:pt>
                <c:pt idx="10">
                  <c:v>1736.5799999999972</c:v>
                </c:pt>
                <c:pt idx="11">
                  <c:v>1680.4999999999982</c:v>
                </c:pt>
                <c:pt idx="12">
                  <c:v>1625.8199999999997</c:v>
                </c:pt>
                <c:pt idx="13">
                  <c:v>1572.5399999999991</c:v>
                </c:pt>
                <c:pt idx="14">
                  <c:v>1520.6599999999971</c:v>
                </c:pt>
              </c:numCache>
            </c:numRef>
          </c:yVal>
          <c:smooth val="1"/>
        </c:ser>
        <c:axId val="118631040"/>
        <c:axId val="118637312"/>
      </c:scatterChart>
      <c:valAx>
        <c:axId val="118631040"/>
        <c:scaling>
          <c:orientation val="minMax"/>
          <c:min val="100"/>
        </c:scaling>
        <c:axPos val="b"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GB"/>
                  <a:t>Tempreature </a:t>
                </a:r>
                <a:r>
                  <a:rPr lang="en-GB" baseline="0"/>
                  <a:t> (°C)</a:t>
                </a:r>
                <a:endParaRPr lang="en-GB"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18637312"/>
        <c:crosses val="autoZero"/>
        <c:crossBetween val="midCat"/>
      </c:valAx>
      <c:valAx>
        <c:axId val="1186373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GB"/>
                </a:pPr>
                <a:r>
                  <a:rPr lang="en-US"/>
                  <a:t>Permeability (milliDarcy's)</a:t>
                </a: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18631040"/>
        <c:crosses val="autoZero"/>
        <c:crossBetween val="midCat"/>
      </c:valAx>
      <c:spPr>
        <a:noFill/>
      </c:spPr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GB"/>
            </a:pPr>
            <a:r>
              <a:rPr lang="en-US"/>
              <a:t>Permeability Vs Time</a:t>
            </a:r>
          </a:p>
        </c:rich>
      </c:tx>
    </c:title>
    <c:plotArea>
      <c:layout>
        <c:manualLayout>
          <c:layoutTarget val="inner"/>
          <c:xMode val="edge"/>
          <c:yMode val="edge"/>
          <c:x val="0.10598176660103523"/>
          <c:y val="0.13271060577237864"/>
          <c:w val="0.6656183741381515"/>
          <c:h val="0.69796661976301155"/>
        </c:manualLayout>
      </c:layout>
      <c:scatterChart>
        <c:scatterStyle val="smoothMarker"/>
        <c:ser>
          <c:idx val="0"/>
          <c:order val="0"/>
          <c:tx>
            <c:v>T = 130  °C</c:v>
          </c:tx>
          <c:xVal>
            <c:numRef>
              <c:f>'Permeability model'!$A$24:$A$29</c:f>
              <c:numCache>
                <c:formatCode>General</c:formatCode>
                <c:ptCount val="6"/>
                <c:pt idx="0">
                  <c:v>3.2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8.23</c:v>
                </c:pt>
              </c:numCache>
            </c:numRef>
          </c:xVal>
          <c:yVal>
            <c:numRef>
              <c:f>'Permeability model'!$B$24:$B$29</c:f>
              <c:numCache>
                <c:formatCode>General</c:formatCode>
                <c:ptCount val="6"/>
                <c:pt idx="0">
                  <c:v>983.33697499999982</c:v>
                </c:pt>
                <c:pt idx="1">
                  <c:v>1418.396</c:v>
                </c:pt>
                <c:pt idx="2">
                  <c:v>1835.9659999999999</c:v>
                </c:pt>
                <c:pt idx="3">
                  <c:v>2137.0360000000001</c:v>
                </c:pt>
                <c:pt idx="4">
                  <c:v>2321.6059999999998</c:v>
                </c:pt>
                <c:pt idx="5">
                  <c:v>2389.6759999999999</c:v>
                </c:pt>
              </c:numCache>
            </c:numRef>
          </c:yVal>
          <c:smooth val="1"/>
        </c:ser>
        <c:ser>
          <c:idx val="1"/>
          <c:order val="1"/>
          <c:tx>
            <c:v>T = 150 °C</c:v>
          </c:tx>
          <c:xVal>
            <c:numRef>
              <c:f>'Permeability model'!$A$24:$A$29</c:f>
              <c:numCache>
                <c:formatCode>General</c:formatCode>
                <c:ptCount val="6"/>
                <c:pt idx="0">
                  <c:v>3.2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8.23</c:v>
                </c:pt>
              </c:numCache>
            </c:numRef>
          </c:xVal>
          <c:yVal>
            <c:numRef>
              <c:f>'Permeability model'!$C$24:$C$29</c:f>
              <c:numCache>
                <c:formatCode>General</c:formatCode>
                <c:ptCount val="6"/>
                <c:pt idx="0">
                  <c:v>1085.7065749999995</c:v>
                </c:pt>
                <c:pt idx="1">
                  <c:v>1487.2999999999995</c:v>
                </c:pt>
                <c:pt idx="2">
                  <c:v>1864.549999999999</c:v>
                </c:pt>
                <c:pt idx="3">
                  <c:v>2125.2999999999988</c:v>
                </c:pt>
                <c:pt idx="4">
                  <c:v>2269.5499999999988</c:v>
                </c:pt>
                <c:pt idx="5">
                  <c:v>2297.2999999999988</c:v>
                </c:pt>
              </c:numCache>
            </c:numRef>
          </c:yVal>
          <c:smooth val="1"/>
        </c:ser>
        <c:ser>
          <c:idx val="2"/>
          <c:order val="2"/>
          <c:tx>
            <c:v>T = 180 °C</c:v>
          </c:tx>
          <c:xVal>
            <c:numRef>
              <c:f>'Permeability model'!$A$24:$A$29</c:f>
              <c:numCache>
                <c:formatCode>General</c:formatCode>
                <c:ptCount val="6"/>
                <c:pt idx="0">
                  <c:v>3.2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8.23</c:v>
                </c:pt>
              </c:numCache>
            </c:numRef>
          </c:xVal>
          <c:yVal>
            <c:numRef>
              <c:f>'Permeability model'!$D$24:$D$29</c:f>
              <c:numCache>
                <c:formatCode>General</c:formatCode>
                <c:ptCount val="6"/>
                <c:pt idx="0">
                  <c:v>1266.4025749999998</c:v>
                </c:pt>
                <c:pt idx="1">
                  <c:v>1612.2199999999993</c:v>
                </c:pt>
                <c:pt idx="2">
                  <c:v>1922.2699999999993</c:v>
                </c:pt>
                <c:pt idx="3">
                  <c:v>2115.8199999999993</c:v>
                </c:pt>
                <c:pt idx="4">
                  <c:v>2192.869999999999</c:v>
                </c:pt>
                <c:pt idx="5">
                  <c:v>2153.4199999999983</c:v>
                </c:pt>
              </c:numCache>
            </c:numRef>
          </c:yVal>
          <c:smooth val="1"/>
        </c:ser>
        <c:ser>
          <c:idx val="3"/>
          <c:order val="3"/>
          <c:tx>
            <c:v>T = 200 °C</c:v>
          </c:tx>
          <c:xVal>
            <c:numRef>
              <c:f>'Permeability model'!$A$24:$A$29</c:f>
              <c:numCache>
                <c:formatCode>General</c:formatCode>
                <c:ptCount val="6"/>
                <c:pt idx="0">
                  <c:v>3.2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8.23</c:v>
                </c:pt>
              </c:numCache>
            </c:numRef>
          </c:xVal>
          <c:yVal>
            <c:numRef>
              <c:f>'Permeability model'!$E$24:$E$29</c:f>
              <c:numCache>
                <c:formatCode>General</c:formatCode>
                <c:ptCount val="6"/>
                <c:pt idx="0">
                  <c:v>1393.8665749999998</c:v>
                </c:pt>
                <c:pt idx="1">
                  <c:v>1702.4999999999998</c:v>
                </c:pt>
                <c:pt idx="2">
                  <c:v>1967.7499999999995</c:v>
                </c:pt>
                <c:pt idx="3">
                  <c:v>2116.4999999999995</c:v>
                </c:pt>
                <c:pt idx="4">
                  <c:v>2148.7499999999995</c:v>
                </c:pt>
                <c:pt idx="5">
                  <c:v>2064.4999999999995</c:v>
                </c:pt>
              </c:numCache>
            </c:numRef>
          </c:yVal>
          <c:smooth val="1"/>
        </c:ser>
        <c:ser>
          <c:idx val="4"/>
          <c:order val="4"/>
          <c:tx>
            <c:v>T = 230 °C</c:v>
          </c:tx>
          <c:xVal>
            <c:numRef>
              <c:f>'Permeability model'!$A$24:$A$29</c:f>
              <c:numCache>
                <c:formatCode>General</c:formatCode>
                <c:ptCount val="6"/>
                <c:pt idx="0">
                  <c:v>3.2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8.23</c:v>
                </c:pt>
              </c:numCache>
            </c:numRef>
          </c:xVal>
          <c:yVal>
            <c:numRef>
              <c:f>'Permeability model'!$F$24:$F$29</c:f>
              <c:numCache>
                <c:formatCode>General</c:formatCode>
                <c:ptCount val="6"/>
                <c:pt idx="0">
                  <c:v>1595.5625749999995</c:v>
                </c:pt>
                <c:pt idx="1">
                  <c:v>1848.42</c:v>
                </c:pt>
                <c:pt idx="2">
                  <c:v>2046.4700000000003</c:v>
                </c:pt>
                <c:pt idx="3">
                  <c:v>2128.02</c:v>
                </c:pt>
                <c:pt idx="4">
                  <c:v>2093.0699999999988</c:v>
                </c:pt>
                <c:pt idx="5">
                  <c:v>1941.619999999999</c:v>
                </c:pt>
              </c:numCache>
            </c:numRef>
          </c:yVal>
          <c:smooth val="1"/>
        </c:ser>
        <c:ser>
          <c:idx val="5"/>
          <c:order val="5"/>
          <c:tx>
            <c:v>T = 250 °C</c:v>
          </c:tx>
          <c:xVal>
            <c:numRef>
              <c:f>'Permeability model'!$A$24:$A$29</c:f>
              <c:numCache>
                <c:formatCode>General</c:formatCode>
                <c:ptCount val="6"/>
                <c:pt idx="0">
                  <c:v>3.2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8.23</c:v>
                </c:pt>
              </c:numCache>
            </c:numRef>
          </c:xVal>
          <c:yVal>
            <c:numRef>
              <c:f>'Permeability model'!$G$24:$G$29</c:f>
              <c:numCache>
                <c:formatCode>General</c:formatCode>
                <c:ptCount val="6"/>
                <c:pt idx="0">
                  <c:v>1737.0265749999996</c:v>
                </c:pt>
                <c:pt idx="1">
                  <c:v>1952.6999999999998</c:v>
                </c:pt>
                <c:pt idx="2">
                  <c:v>2105.9499999999998</c:v>
                </c:pt>
                <c:pt idx="3">
                  <c:v>2142.6999999999998</c:v>
                </c:pt>
                <c:pt idx="4">
                  <c:v>2062.9500000000007</c:v>
                </c:pt>
                <c:pt idx="5">
                  <c:v>1866.7000000000007</c:v>
                </c:pt>
              </c:numCache>
            </c:numRef>
          </c:yVal>
          <c:smooth val="1"/>
        </c:ser>
        <c:ser>
          <c:idx val="6"/>
          <c:order val="6"/>
          <c:tx>
            <c:v>T = 270 °C</c:v>
          </c:tx>
          <c:xVal>
            <c:numRef>
              <c:f>'Permeability model'!$A$24:$A$29</c:f>
              <c:numCache>
                <c:formatCode>General</c:formatCode>
                <c:ptCount val="6"/>
                <c:pt idx="0">
                  <c:v>3.2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8.23</c:v>
                </c:pt>
              </c:numCache>
            </c:numRef>
          </c:xVal>
          <c:yVal>
            <c:numRef>
              <c:f>'Permeability model'!$H$24:$H$29</c:f>
              <c:numCache>
                <c:formatCode>General</c:formatCode>
                <c:ptCount val="6"/>
                <c:pt idx="0">
                  <c:v>1884.0905749999995</c:v>
                </c:pt>
                <c:pt idx="1">
                  <c:v>2062.5799999999995</c:v>
                </c:pt>
                <c:pt idx="2">
                  <c:v>2171.0299999999993</c:v>
                </c:pt>
                <c:pt idx="3">
                  <c:v>2162.9799999999996</c:v>
                </c:pt>
                <c:pt idx="4">
                  <c:v>2038.4299999999985</c:v>
                </c:pt>
                <c:pt idx="5">
                  <c:v>1797.3799999999983</c:v>
                </c:pt>
              </c:numCache>
            </c:numRef>
          </c:yVal>
          <c:smooth val="1"/>
        </c:ser>
        <c:axId val="118822400"/>
        <c:axId val="118824320"/>
      </c:scatterChart>
      <c:valAx>
        <c:axId val="118822400"/>
        <c:scaling>
          <c:orientation val="minMax"/>
          <c:min val="2"/>
        </c:scaling>
        <c:axPos val="b"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US"/>
                  <a:t>Time (hours)</a:t>
                </a:r>
              </a:p>
            </c:rich>
          </c:tx>
          <c:layout>
            <c:manualLayout>
              <c:xMode val="edge"/>
              <c:yMode val="edge"/>
              <c:x val="0.41159768449945838"/>
              <c:y val="0.91887121501279478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18824320"/>
        <c:crosses val="autoZero"/>
        <c:crossBetween val="midCat"/>
      </c:valAx>
      <c:valAx>
        <c:axId val="118824320"/>
        <c:scaling>
          <c:orientation val="minMax"/>
          <c:max val="2500"/>
          <c:min val="750"/>
        </c:scaling>
        <c:axPos val="l"/>
        <c:majorGridlines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US"/>
                  <a:t>Permeability (milliDarcy's)</a:t>
                </a: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18822400"/>
        <c:crosses val="autoZero"/>
        <c:crossBetween val="midCat"/>
        <c:majorUnit val="250"/>
      </c:valAx>
      <c:spPr>
        <a:noFill/>
      </c:spPr>
    </c:plotArea>
    <c:legend>
      <c:legendPos val="r"/>
      <c:layout>
        <c:manualLayout>
          <c:xMode val="edge"/>
          <c:yMode val="edge"/>
          <c:x val="0.79906171175382967"/>
          <c:y val="0.25261020579165055"/>
          <c:w val="0.17285409227280271"/>
          <c:h val="0.37948026600923279"/>
        </c:manualLayout>
      </c:layout>
      <c:txPr>
        <a:bodyPr/>
        <a:lstStyle/>
        <a:p>
          <a:pPr>
            <a:defRPr lang="en-GB"/>
          </a:pPr>
          <a:endParaRPr lang="en-US"/>
        </a:p>
      </c:txPr>
    </c:legend>
    <c:plotVisOnly val="1"/>
  </c:chart>
  <c:spPr>
    <a:solidFill>
      <a:schemeClr val="bg1"/>
    </a:solid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798024359642314"/>
          <c:y val="5.5167821261924502E-2"/>
          <c:w val="0.58676093412817965"/>
          <c:h val="0.78840545347697299"/>
        </c:manualLayout>
      </c:layout>
      <c:scatterChart>
        <c:scatterStyle val="lineMarker"/>
        <c:ser>
          <c:idx val="0"/>
          <c:order val="0"/>
          <c:trendline>
            <c:trendlineType val="linear"/>
          </c:trendline>
          <c:yVal>
            <c:numRef>
              <c:f>'Permeability model'!$B$33:$B$45</c:f>
              <c:numCache>
                <c:formatCode>0.00</c:formatCode>
                <c:ptCount val="13"/>
                <c:pt idx="0">
                  <c:v>1500</c:v>
                </c:pt>
                <c:pt idx="1">
                  <c:v>1917.129126635856</c:v>
                </c:pt>
                <c:pt idx="2">
                  <c:v>2304.4202483179306</c:v>
                </c:pt>
                <c:pt idx="3">
                  <c:v>1824.618129499921</c:v>
                </c:pt>
                <c:pt idx="4">
                  <c:v>2120.4461459350291</c:v>
                </c:pt>
                <c:pt idx="5">
                  <c:v>2212.6094215795551</c:v>
                </c:pt>
                <c:pt idx="6">
                  <c:v>1405.3912783400374</c:v>
                </c:pt>
                <c:pt idx="7">
                  <c:v>1925.8112001779009</c:v>
                </c:pt>
                <c:pt idx="8">
                  <c:v>1721.3761538399992</c:v>
                </c:pt>
                <c:pt idx="9">
                  <c:v>2498.6526579094889</c:v>
                </c:pt>
                <c:pt idx="10">
                  <c:v>1948.2795191901405</c:v>
                </c:pt>
                <c:pt idx="11">
                  <c:v>2240.8768366859049</c:v>
                </c:pt>
                <c:pt idx="12">
                  <c:v>2174.6905185569967</c:v>
                </c:pt>
              </c:numCache>
            </c:numRef>
          </c:yVal>
        </c:ser>
        <c:axId val="118845824"/>
        <c:axId val="118847360"/>
      </c:scatterChart>
      <c:valAx>
        <c:axId val="1188458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18847360"/>
        <c:crosses val="autoZero"/>
        <c:crossBetween val="midCat"/>
      </c:valAx>
      <c:valAx>
        <c:axId val="118847360"/>
        <c:scaling>
          <c:orientation val="minMax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188458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971945297827406"/>
          <c:y val="0.41014697907643338"/>
          <c:w val="0.18838772588464092"/>
          <c:h val="0.37349493754387098"/>
        </c:manualLayout>
      </c:layout>
      <c:txPr>
        <a:bodyPr/>
        <a:lstStyle/>
        <a:p>
          <a:pPr>
            <a:defRPr lang="en-GB"/>
          </a:pPr>
          <a:endParaRPr lang="en-US"/>
        </a:p>
      </c:txPr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GB"/>
            </a:pPr>
            <a:r>
              <a:rPr lang="en-US"/>
              <a:t>Permeability Vs Time</a:t>
            </a:r>
          </a:p>
        </c:rich>
      </c:tx>
    </c:title>
    <c:plotArea>
      <c:layout>
        <c:manualLayout>
          <c:layoutTarget val="inner"/>
          <c:xMode val="edge"/>
          <c:yMode val="edge"/>
          <c:x val="0.10598176660103523"/>
          <c:y val="0.13271060577237873"/>
          <c:w val="0.66561837413815184"/>
          <c:h val="0.69796661976301155"/>
        </c:manualLayout>
      </c:layout>
      <c:scatterChart>
        <c:scatterStyle val="smoothMarker"/>
        <c:ser>
          <c:idx val="0"/>
          <c:order val="0"/>
          <c:tx>
            <c:v>T = 130  °C</c:v>
          </c:tx>
          <c:xVal>
            <c:numRef>
              <c:f>'Permeability model'!$A$24:$A$29</c:f>
              <c:numCache>
                <c:formatCode>General</c:formatCode>
                <c:ptCount val="6"/>
                <c:pt idx="0">
                  <c:v>3.2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8.23</c:v>
                </c:pt>
              </c:numCache>
            </c:numRef>
          </c:xVal>
          <c:yVal>
            <c:numRef>
              <c:f>'Permeability model'!$B$24:$B$29</c:f>
              <c:numCache>
                <c:formatCode>General</c:formatCode>
                <c:ptCount val="6"/>
                <c:pt idx="0">
                  <c:v>983.33697499999982</c:v>
                </c:pt>
                <c:pt idx="1">
                  <c:v>1418.396</c:v>
                </c:pt>
                <c:pt idx="2">
                  <c:v>1835.9659999999999</c:v>
                </c:pt>
                <c:pt idx="3">
                  <c:v>2137.0360000000001</c:v>
                </c:pt>
                <c:pt idx="4">
                  <c:v>2321.6059999999998</c:v>
                </c:pt>
                <c:pt idx="5">
                  <c:v>2389.6759999999999</c:v>
                </c:pt>
              </c:numCache>
            </c:numRef>
          </c:yVal>
          <c:smooth val="1"/>
        </c:ser>
        <c:ser>
          <c:idx val="1"/>
          <c:order val="1"/>
          <c:tx>
            <c:v>T = 150 °C</c:v>
          </c:tx>
          <c:xVal>
            <c:numRef>
              <c:f>'Permeability model'!$A$24:$A$29</c:f>
              <c:numCache>
                <c:formatCode>General</c:formatCode>
                <c:ptCount val="6"/>
                <c:pt idx="0">
                  <c:v>3.2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8.23</c:v>
                </c:pt>
              </c:numCache>
            </c:numRef>
          </c:xVal>
          <c:yVal>
            <c:numRef>
              <c:f>'Permeability model'!$C$24:$C$29</c:f>
              <c:numCache>
                <c:formatCode>General</c:formatCode>
                <c:ptCount val="6"/>
                <c:pt idx="0">
                  <c:v>1085.7065749999995</c:v>
                </c:pt>
                <c:pt idx="1">
                  <c:v>1487.2999999999995</c:v>
                </c:pt>
                <c:pt idx="2">
                  <c:v>1864.549999999999</c:v>
                </c:pt>
                <c:pt idx="3">
                  <c:v>2125.2999999999988</c:v>
                </c:pt>
                <c:pt idx="4">
                  <c:v>2269.5499999999988</c:v>
                </c:pt>
                <c:pt idx="5">
                  <c:v>2297.2999999999988</c:v>
                </c:pt>
              </c:numCache>
            </c:numRef>
          </c:yVal>
          <c:smooth val="1"/>
        </c:ser>
        <c:ser>
          <c:idx val="2"/>
          <c:order val="2"/>
          <c:tx>
            <c:v>No interaction</c:v>
          </c:tx>
          <c:xVal>
            <c:numRef>
              <c:f>'Permeability model'!$A$24:$A$29</c:f>
              <c:numCache>
                <c:formatCode>General</c:formatCode>
                <c:ptCount val="6"/>
                <c:pt idx="0">
                  <c:v>3.2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8.23</c:v>
                </c:pt>
              </c:numCache>
            </c:numRef>
          </c:xVal>
          <c:yVal>
            <c:numRef>
              <c:f>'Permeability model'!$A$31:$A$36</c:f>
              <c:numCache>
                <c:formatCode>General</c:formatCode>
                <c:ptCount val="6"/>
                <c:pt idx="0">
                  <c:v>1183.3369749999997</c:v>
                </c:pt>
                <c:pt idx="1">
                  <c:v>1618.396</c:v>
                </c:pt>
                <c:pt idx="2">
                  <c:v>2035.9659999999999</c:v>
                </c:pt>
                <c:pt idx="3">
                  <c:v>2337.0360000000001</c:v>
                </c:pt>
                <c:pt idx="4">
                  <c:v>2521.6059999999998</c:v>
                </c:pt>
                <c:pt idx="5">
                  <c:v>2589.6759999999999</c:v>
                </c:pt>
              </c:numCache>
            </c:numRef>
          </c:yVal>
          <c:smooth val="1"/>
        </c:ser>
        <c:axId val="118864512"/>
        <c:axId val="118874880"/>
      </c:scatterChart>
      <c:valAx>
        <c:axId val="118864512"/>
        <c:scaling>
          <c:orientation val="minMax"/>
          <c:min val="2"/>
        </c:scaling>
        <c:axPos val="b"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US"/>
                  <a:t>Time (hours)</a:t>
                </a:r>
              </a:p>
            </c:rich>
          </c:tx>
          <c:layout>
            <c:manualLayout>
              <c:xMode val="edge"/>
              <c:yMode val="edge"/>
              <c:x val="0.41159768449945838"/>
              <c:y val="0.91887121501279501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18874880"/>
        <c:crosses val="autoZero"/>
        <c:crossBetween val="midCat"/>
      </c:valAx>
      <c:valAx>
        <c:axId val="118874880"/>
        <c:scaling>
          <c:orientation val="minMax"/>
          <c:max val="3000"/>
          <c:min val="750"/>
        </c:scaling>
        <c:axPos val="l"/>
        <c:majorGridlines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US"/>
                  <a:t>Permeability (milliDarcy's)</a:t>
                </a: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18864512"/>
        <c:crosses val="autoZero"/>
        <c:crossBetween val="midCat"/>
        <c:majorUnit val="250"/>
      </c:valAx>
      <c:spPr>
        <a:noFill/>
      </c:spPr>
    </c:plotArea>
    <c:legend>
      <c:legendPos val="r"/>
      <c:layout>
        <c:manualLayout>
          <c:xMode val="edge"/>
          <c:yMode val="edge"/>
          <c:x val="0.79906171175382967"/>
          <c:y val="0.25261020579165067"/>
          <c:w val="0.16675801475686874"/>
          <c:h val="0.20092125984251971"/>
        </c:manualLayout>
      </c:layout>
      <c:txPr>
        <a:bodyPr/>
        <a:lstStyle/>
        <a:p>
          <a:pPr>
            <a:defRPr lang="en-GB"/>
          </a:pPr>
          <a:endParaRPr lang="en-US"/>
        </a:p>
      </c:txPr>
    </c:legend>
    <c:plotVisOnly val="1"/>
  </c:chart>
  <c:spPr>
    <a:solidFill>
      <a:schemeClr val="bg1"/>
    </a:solidFill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GB"/>
            </a:pPr>
            <a:r>
              <a:rPr lang="en-US"/>
              <a:t>UCS Vs Temperature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t=3.3</c:v>
          </c:tx>
          <c:xVal>
            <c:numRef>
              <c:f>'Compressive stress model'!$A$6:$A$20</c:f>
              <c:numCache>
                <c:formatCode>General</c:formatCode>
                <c:ptCount val="15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170</c:v>
                </c:pt>
                <c:pt idx="5">
                  <c:v>180</c:v>
                </c:pt>
                <c:pt idx="6">
                  <c:v>190</c:v>
                </c:pt>
                <c:pt idx="7">
                  <c:v>200</c:v>
                </c:pt>
                <c:pt idx="8">
                  <c:v>210</c:v>
                </c:pt>
                <c:pt idx="9">
                  <c:v>220</c:v>
                </c:pt>
                <c:pt idx="10">
                  <c:v>230</c:v>
                </c:pt>
                <c:pt idx="11">
                  <c:v>240</c:v>
                </c:pt>
                <c:pt idx="12">
                  <c:v>250</c:v>
                </c:pt>
                <c:pt idx="13">
                  <c:v>260</c:v>
                </c:pt>
                <c:pt idx="14">
                  <c:v>270</c:v>
                </c:pt>
              </c:numCache>
            </c:numRef>
          </c:xVal>
          <c:yVal>
            <c:numRef>
              <c:f>'Compressive stress model'!$B$6:$B$20</c:f>
              <c:numCache>
                <c:formatCode>General</c:formatCode>
                <c:ptCount val="15"/>
                <c:pt idx="0">
                  <c:v>0.67962399999999956</c:v>
                </c:pt>
                <c:pt idx="1">
                  <c:v>0.75871399999999944</c:v>
                </c:pt>
                <c:pt idx="2">
                  <c:v>0.82180399999999976</c:v>
                </c:pt>
                <c:pt idx="3">
                  <c:v>0.8688939999999995</c:v>
                </c:pt>
                <c:pt idx="4">
                  <c:v>0.89998399999999923</c:v>
                </c:pt>
                <c:pt idx="5">
                  <c:v>0.9150739999999995</c:v>
                </c:pt>
                <c:pt idx="6">
                  <c:v>0.9141639999999992</c:v>
                </c:pt>
                <c:pt idx="7">
                  <c:v>0.89725399999999933</c:v>
                </c:pt>
                <c:pt idx="8">
                  <c:v>0.86434399999999911</c:v>
                </c:pt>
                <c:pt idx="9">
                  <c:v>0.81543399999999922</c:v>
                </c:pt>
                <c:pt idx="10">
                  <c:v>0.75052399999999941</c:v>
                </c:pt>
                <c:pt idx="11">
                  <c:v>0.66961399999999904</c:v>
                </c:pt>
                <c:pt idx="12">
                  <c:v>0.57270400000000055</c:v>
                </c:pt>
                <c:pt idx="13">
                  <c:v>0.45979399999999926</c:v>
                </c:pt>
                <c:pt idx="14">
                  <c:v>0.33088399999999973</c:v>
                </c:pt>
              </c:numCache>
            </c:numRef>
          </c:yVal>
          <c:smooth val="1"/>
        </c:ser>
        <c:ser>
          <c:idx val="1"/>
          <c:order val="1"/>
          <c:tx>
            <c:v>t=4</c:v>
          </c:tx>
          <c:xVal>
            <c:numRef>
              <c:f>'Compressive stress model'!$A$6:$A$20</c:f>
              <c:numCache>
                <c:formatCode>General</c:formatCode>
                <c:ptCount val="15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170</c:v>
                </c:pt>
                <c:pt idx="5">
                  <c:v>180</c:v>
                </c:pt>
                <c:pt idx="6">
                  <c:v>190</c:v>
                </c:pt>
                <c:pt idx="7">
                  <c:v>200</c:v>
                </c:pt>
                <c:pt idx="8">
                  <c:v>210</c:v>
                </c:pt>
                <c:pt idx="9">
                  <c:v>220</c:v>
                </c:pt>
                <c:pt idx="10">
                  <c:v>230</c:v>
                </c:pt>
                <c:pt idx="11">
                  <c:v>240</c:v>
                </c:pt>
                <c:pt idx="12">
                  <c:v>250</c:v>
                </c:pt>
                <c:pt idx="13">
                  <c:v>260</c:v>
                </c:pt>
                <c:pt idx="14">
                  <c:v>270</c:v>
                </c:pt>
              </c:numCache>
            </c:numRef>
          </c:xVal>
          <c:yVal>
            <c:numRef>
              <c:f>'Compressive stress model'!$C$6:$C$20</c:f>
              <c:numCache>
                <c:formatCode>General</c:formatCode>
                <c:ptCount val="15"/>
                <c:pt idx="0">
                  <c:v>0.83269999999999944</c:v>
                </c:pt>
                <c:pt idx="1">
                  <c:v>0.90639999999999965</c:v>
                </c:pt>
                <c:pt idx="2">
                  <c:v>0.96409999999999996</c:v>
                </c:pt>
                <c:pt idx="3">
                  <c:v>1.0057999999999998</c:v>
                </c:pt>
                <c:pt idx="4">
                  <c:v>1.0314999999999994</c:v>
                </c:pt>
                <c:pt idx="5">
                  <c:v>1.0411999999999997</c:v>
                </c:pt>
                <c:pt idx="6">
                  <c:v>1.0348999999999995</c:v>
                </c:pt>
                <c:pt idx="7">
                  <c:v>1.0125999999999995</c:v>
                </c:pt>
                <c:pt idx="8">
                  <c:v>0.97429999999999939</c:v>
                </c:pt>
                <c:pt idx="9">
                  <c:v>0.91999999999999948</c:v>
                </c:pt>
                <c:pt idx="10">
                  <c:v>0.84969999999999968</c:v>
                </c:pt>
                <c:pt idx="11">
                  <c:v>0.7633999999999993</c:v>
                </c:pt>
                <c:pt idx="12">
                  <c:v>0.6611000000000008</c:v>
                </c:pt>
                <c:pt idx="13">
                  <c:v>0.54279999999999951</c:v>
                </c:pt>
                <c:pt idx="14">
                  <c:v>0.40849999999999997</c:v>
                </c:pt>
              </c:numCache>
            </c:numRef>
          </c:yVal>
          <c:smooth val="1"/>
        </c:ser>
        <c:ser>
          <c:idx val="2"/>
          <c:order val="2"/>
          <c:tx>
            <c:v>t=5</c:v>
          </c:tx>
          <c:xVal>
            <c:numRef>
              <c:f>'Compressive stress model'!$A$6:$A$20</c:f>
              <c:numCache>
                <c:formatCode>General</c:formatCode>
                <c:ptCount val="15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170</c:v>
                </c:pt>
                <c:pt idx="5">
                  <c:v>180</c:v>
                </c:pt>
                <c:pt idx="6">
                  <c:v>190</c:v>
                </c:pt>
                <c:pt idx="7">
                  <c:v>200</c:v>
                </c:pt>
                <c:pt idx="8">
                  <c:v>210</c:v>
                </c:pt>
                <c:pt idx="9">
                  <c:v>220</c:v>
                </c:pt>
                <c:pt idx="10">
                  <c:v>230</c:v>
                </c:pt>
                <c:pt idx="11">
                  <c:v>240</c:v>
                </c:pt>
                <c:pt idx="12">
                  <c:v>250</c:v>
                </c:pt>
                <c:pt idx="13">
                  <c:v>260</c:v>
                </c:pt>
                <c:pt idx="14">
                  <c:v>270</c:v>
                </c:pt>
              </c:numCache>
            </c:numRef>
          </c:xVal>
          <c:yVal>
            <c:numRef>
              <c:f>'Compressive stress model'!$D$6:$D$20</c:f>
              <c:numCache>
                <c:formatCode>General</c:formatCode>
                <c:ptCount val="15"/>
                <c:pt idx="0">
                  <c:v>0.9639999999999993</c:v>
                </c:pt>
                <c:pt idx="1">
                  <c:v>1.0299999999999996</c:v>
                </c:pt>
                <c:pt idx="2">
                  <c:v>1.0799999999999998</c:v>
                </c:pt>
                <c:pt idx="3">
                  <c:v>1.1139999999999994</c:v>
                </c:pt>
                <c:pt idx="4">
                  <c:v>1.1319999999999992</c:v>
                </c:pt>
                <c:pt idx="5">
                  <c:v>1.1339999999999995</c:v>
                </c:pt>
                <c:pt idx="6">
                  <c:v>1.1199999999999992</c:v>
                </c:pt>
                <c:pt idx="7">
                  <c:v>1.0899999999999994</c:v>
                </c:pt>
                <c:pt idx="8">
                  <c:v>1.0439999999999992</c:v>
                </c:pt>
                <c:pt idx="9">
                  <c:v>0.98199999999999932</c:v>
                </c:pt>
                <c:pt idx="10">
                  <c:v>0.90399999999999947</c:v>
                </c:pt>
                <c:pt idx="11">
                  <c:v>0.80999999999999917</c:v>
                </c:pt>
                <c:pt idx="12">
                  <c:v>0.70000000000000062</c:v>
                </c:pt>
                <c:pt idx="13">
                  <c:v>0.57400000000000029</c:v>
                </c:pt>
                <c:pt idx="14">
                  <c:v>0.43199999999999883</c:v>
                </c:pt>
              </c:numCache>
            </c:numRef>
          </c:yVal>
          <c:smooth val="1"/>
        </c:ser>
        <c:ser>
          <c:idx val="3"/>
          <c:order val="3"/>
          <c:tx>
            <c:v>t=6</c:v>
          </c:tx>
          <c:xVal>
            <c:numRef>
              <c:f>'Compressive stress model'!$A$6:$A$20</c:f>
              <c:numCache>
                <c:formatCode>General</c:formatCode>
                <c:ptCount val="15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170</c:v>
                </c:pt>
                <c:pt idx="5">
                  <c:v>180</c:v>
                </c:pt>
                <c:pt idx="6">
                  <c:v>190</c:v>
                </c:pt>
                <c:pt idx="7">
                  <c:v>200</c:v>
                </c:pt>
                <c:pt idx="8">
                  <c:v>210</c:v>
                </c:pt>
                <c:pt idx="9">
                  <c:v>220</c:v>
                </c:pt>
                <c:pt idx="10">
                  <c:v>230</c:v>
                </c:pt>
                <c:pt idx="11">
                  <c:v>240</c:v>
                </c:pt>
                <c:pt idx="12">
                  <c:v>250</c:v>
                </c:pt>
                <c:pt idx="13">
                  <c:v>260</c:v>
                </c:pt>
                <c:pt idx="14">
                  <c:v>270</c:v>
                </c:pt>
              </c:numCache>
            </c:numRef>
          </c:xVal>
          <c:yVal>
            <c:numRef>
              <c:f>'Compressive stress model'!$E$6:$E$20</c:f>
              <c:numCache>
                <c:formatCode>General</c:formatCode>
                <c:ptCount val="15"/>
                <c:pt idx="0">
                  <c:v>0.99249999999999927</c:v>
                </c:pt>
                <c:pt idx="1">
                  <c:v>1.0507999999999997</c:v>
                </c:pt>
                <c:pt idx="2">
                  <c:v>1.0930999999999997</c:v>
                </c:pt>
                <c:pt idx="3">
                  <c:v>1.1193999999999997</c:v>
                </c:pt>
                <c:pt idx="4">
                  <c:v>1.1296999999999995</c:v>
                </c:pt>
                <c:pt idx="5">
                  <c:v>1.1239999999999997</c:v>
                </c:pt>
                <c:pt idx="6">
                  <c:v>1.1022999999999994</c:v>
                </c:pt>
                <c:pt idx="7">
                  <c:v>1.0645999999999995</c:v>
                </c:pt>
                <c:pt idx="8">
                  <c:v>1.0108999999999992</c:v>
                </c:pt>
                <c:pt idx="9">
                  <c:v>0.94119999999999937</c:v>
                </c:pt>
                <c:pt idx="10">
                  <c:v>0.85549999999999882</c:v>
                </c:pt>
                <c:pt idx="11">
                  <c:v>0.75379999999999914</c:v>
                </c:pt>
                <c:pt idx="12">
                  <c:v>0.63610000000000078</c:v>
                </c:pt>
                <c:pt idx="13">
                  <c:v>0.50239999999999929</c:v>
                </c:pt>
                <c:pt idx="14">
                  <c:v>0.35269999999999979</c:v>
                </c:pt>
              </c:numCache>
            </c:numRef>
          </c:yVal>
          <c:smooth val="1"/>
        </c:ser>
        <c:ser>
          <c:idx val="4"/>
          <c:order val="4"/>
          <c:tx>
            <c:v>t=7</c:v>
          </c:tx>
          <c:xVal>
            <c:numRef>
              <c:f>'Compressive stress model'!$A$6:$A$20</c:f>
              <c:numCache>
                <c:formatCode>General</c:formatCode>
                <c:ptCount val="15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170</c:v>
                </c:pt>
                <c:pt idx="5">
                  <c:v>180</c:v>
                </c:pt>
                <c:pt idx="6">
                  <c:v>190</c:v>
                </c:pt>
                <c:pt idx="7">
                  <c:v>200</c:v>
                </c:pt>
                <c:pt idx="8">
                  <c:v>210</c:v>
                </c:pt>
                <c:pt idx="9">
                  <c:v>220</c:v>
                </c:pt>
                <c:pt idx="10">
                  <c:v>230</c:v>
                </c:pt>
                <c:pt idx="11">
                  <c:v>240</c:v>
                </c:pt>
                <c:pt idx="12">
                  <c:v>250</c:v>
                </c:pt>
                <c:pt idx="13">
                  <c:v>260</c:v>
                </c:pt>
                <c:pt idx="14">
                  <c:v>270</c:v>
                </c:pt>
              </c:numCache>
            </c:numRef>
          </c:xVal>
          <c:yVal>
            <c:numRef>
              <c:f>'Compressive stress model'!$F$6:$F$20</c:f>
              <c:numCache>
                <c:formatCode>General</c:formatCode>
                <c:ptCount val="15"/>
                <c:pt idx="0">
                  <c:v>0.91819999999999913</c:v>
                </c:pt>
                <c:pt idx="1">
                  <c:v>0.968799999999999</c:v>
                </c:pt>
                <c:pt idx="2">
                  <c:v>1.0033999999999996</c:v>
                </c:pt>
                <c:pt idx="3">
                  <c:v>1.0219999999999994</c:v>
                </c:pt>
                <c:pt idx="4">
                  <c:v>1.0245999999999993</c:v>
                </c:pt>
                <c:pt idx="5">
                  <c:v>1.0111999999999999</c:v>
                </c:pt>
                <c:pt idx="6">
                  <c:v>0.98179999999999978</c:v>
                </c:pt>
                <c:pt idx="7">
                  <c:v>0.93639999999999923</c:v>
                </c:pt>
                <c:pt idx="8">
                  <c:v>0.87499999999999911</c:v>
                </c:pt>
                <c:pt idx="9">
                  <c:v>0.79759999999999875</c:v>
                </c:pt>
                <c:pt idx="10">
                  <c:v>0.70419999999999949</c:v>
                </c:pt>
                <c:pt idx="11">
                  <c:v>0.5948</c:v>
                </c:pt>
                <c:pt idx="12">
                  <c:v>0.4693999999999996</c:v>
                </c:pt>
                <c:pt idx="13">
                  <c:v>0.32799999999999829</c:v>
                </c:pt>
                <c:pt idx="14">
                  <c:v>0.17060000000000053</c:v>
                </c:pt>
              </c:numCache>
            </c:numRef>
          </c:yVal>
          <c:smooth val="1"/>
        </c:ser>
        <c:ser>
          <c:idx val="5"/>
          <c:order val="5"/>
          <c:tx>
            <c:v>t=8</c:v>
          </c:tx>
          <c:xVal>
            <c:numRef>
              <c:f>'Compressive stress model'!$A$6:$A$20</c:f>
              <c:numCache>
                <c:formatCode>General</c:formatCode>
                <c:ptCount val="15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170</c:v>
                </c:pt>
                <c:pt idx="5">
                  <c:v>180</c:v>
                </c:pt>
                <c:pt idx="6">
                  <c:v>190</c:v>
                </c:pt>
                <c:pt idx="7">
                  <c:v>200</c:v>
                </c:pt>
                <c:pt idx="8">
                  <c:v>210</c:v>
                </c:pt>
                <c:pt idx="9">
                  <c:v>220</c:v>
                </c:pt>
                <c:pt idx="10">
                  <c:v>230</c:v>
                </c:pt>
                <c:pt idx="11">
                  <c:v>240</c:v>
                </c:pt>
                <c:pt idx="12">
                  <c:v>250</c:v>
                </c:pt>
                <c:pt idx="13">
                  <c:v>260</c:v>
                </c:pt>
                <c:pt idx="14">
                  <c:v>270</c:v>
                </c:pt>
              </c:numCache>
            </c:numRef>
          </c:xVal>
          <c:yVal>
            <c:numRef>
              <c:f>'Compressive stress model'!$G$6:$G$20</c:f>
              <c:numCache>
                <c:formatCode>General</c:formatCode>
                <c:ptCount val="15"/>
                <c:pt idx="0">
                  <c:v>0.7410999999999992</c:v>
                </c:pt>
                <c:pt idx="1">
                  <c:v>0.78399999999999992</c:v>
                </c:pt>
                <c:pt idx="2">
                  <c:v>0.81089999999999973</c:v>
                </c:pt>
                <c:pt idx="3">
                  <c:v>0.82179999999999953</c:v>
                </c:pt>
                <c:pt idx="4">
                  <c:v>0.81669999999999932</c:v>
                </c:pt>
                <c:pt idx="5">
                  <c:v>0.79559999999999897</c:v>
                </c:pt>
                <c:pt idx="6">
                  <c:v>0.75850000000000062</c:v>
                </c:pt>
                <c:pt idx="7">
                  <c:v>0.70539999999999936</c:v>
                </c:pt>
                <c:pt idx="8">
                  <c:v>0.63629999999999831</c:v>
                </c:pt>
                <c:pt idx="9">
                  <c:v>0.55119999999999969</c:v>
                </c:pt>
                <c:pt idx="10">
                  <c:v>0.45010000000000039</c:v>
                </c:pt>
                <c:pt idx="11">
                  <c:v>0.33299999999999907</c:v>
                </c:pt>
                <c:pt idx="12">
                  <c:v>0.19990000000000063</c:v>
                </c:pt>
                <c:pt idx="13">
                  <c:v>5.079999999999929E-2</c:v>
                </c:pt>
                <c:pt idx="14">
                  <c:v>-0.11430000000000029</c:v>
                </c:pt>
              </c:numCache>
            </c:numRef>
          </c:yVal>
          <c:smooth val="1"/>
        </c:ser>
        <c:ser>
          <c:idx val="6"/>
          <c:order val="6"/>
          <c:tx>
            <c:v>t=8.88</c:v>
          </c:tx>
          <c:xVal>
            <c:numRef>
              <c:f>'Compressive stress model'!$A$6:$A$20</c:f>
              <c:numCache>
                <c:formatCode>General</c:formatCode>
                <c:ptCount val="15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170</c:v>
                </c:pt>
                <c:pt idx="5">
                  <c:v>180</c:v>
                </c:pt>
                <c:pt idx="6">
                  <c:v>190</c:v>
                </c:pt>
                <c:pt idx="7">
                  <c:v>200</c:v>
                </c:pt>
                <c:pt idx="8">
                  <c:v>210</c:v>
                </c:pt>
                <c:pt idx="9">
                  <c:v>220</c:v>
                </c:pt>
                <c:pt idx="10">
                  <c:v>230</c:v>
                </c:pt>
                <c:pt idx="11">
                  <c:v>240</c:v>
                </c:pt>
                <c:pt idx="12">
                  <c:v>250</c:v>
                </c:pt>
                <c:pt idx="13">
                  <c:v>260</c:v>
                </c:pt>
                <c:pt idx="14">
                  <c:v>270</c:v>
                </c:pt>
              </c:numCache>
            </c:numRef>
          </c:xVal>
          <c:yVal>
            <c:numRef>
              <c:f>'Compressive stress model'!$H$6:$H$20</c:f>
              <c:numCache>
                <c:formatCode>General</c:formatCode>
                <c:ptCount val="15"/>
                <c:pt idx="0">
                  <c:v>0.50021583999999886</c:v>
                </c:pt>
                <c:pt idx="1">
                  <c:v>0.53633983999999957</c:v>
                </c:pt>
                <c:pt idx="2">
                  <c:v>0.55646383999999927</c:v>
                </c:pt>
                <c:pt idx="3">
                  <c:v>0.56058783999999906</c:v>
                </c:pt>
                <c:pt idx="4">
                  <c:v>0.54871183999999795</c:v>
                </c:pt>
                <c:pt idx="5">
                  <c:v>0.52083583999999861</c:v>
                </c:pt>
                <c:pt idx="6">
                  <c:v>0.47695984000000013</c:v>
                </c:pt>
                <c:pt idx="7">
                  <c:v>0.41708383999999898</c:v>
                </c:pt>
                <c:pt idx="8">
                  <c:v>0.34120783999999782</c:v>
                </c:pt>
                <c:pt idx="9">
                  <c:v>0.24933183999999931</c:v>
                </c:pt>
                <c:pt idx="10">
                  <c:v>0.14145583999999989</c:v>
                </c:pt>
                <c:pt idx="11">
                  <c:v>1.7579839999998681E-2</c:v>
                </c:pt>
                <c:pt idx="12">
                  <c:v>-0.12229615999999988</c:v>
                </c:pt>
                <c:pt idx="13">
                  <c:v>-0.27817216000000111</c:v>
                </c:pt>
                <c:pt idx="14">
                  <c:v>-0.45004816000000081</c:v>
                </c:pt>
              </c:numCache>
            </c:numRef>
          </c:yVal>
          <c:smooth val="1"/>
        </c:ser>
        <c:axId val="121718656"/>
        <c:axId val="121729024"/>
      </c:scatterChart>
      <c:valAx>
        <c:axId val="121718656"/>
        <c:scaling>
          <c:orientation val="minMax"/>
          <c:min val="100"/>
        </c:scaling>
        <c:axPos val="b"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GB"/>
                  <a:t>Tempreature </a:t>
                </a:r>
                <a:r>
                  <a:rPr lang="en-GB" baseline="0"/>
                  <a:t> (°C)</a:t>
                </a:r>
                <a:endParaRPr lang="en-GB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21729024"/>
        <c:crosses val="autoZero"/>
        <c:crossBetween val="midCat"/>
      </c:valAx>
      <c:valAx>
        <c:axId val="1217290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GB"/>
                </a:pPr>
                <a:r>
                  <a:rPr lang="en-US"/>
                  <a:t>Permeability (milliDarcy's)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21718656"/>
        <c:crosses val="autoZero"/>
        <c:crossBetween val="midCat"/>
      </c:valAx>
      <c:spPr>
        <a:noFill/>
      </c:spPr>
    </c:plotArea>
    <c:legend>
      <c:legendPos val="r"/>
      <c:layout/>
      <c:txPr>
        <a:bodyPr/>
        <a:lstStyle/>
        <a:p>
          <a:pPr>
            <a:defRPr lang="en-GB"/>
          </a:pPr>
          <a:endParaRPr lang="en-US"/>
        </a:p>
      </c:txPr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T=130</c:v>
          </c:tx>
          <c:xVal>
            <c:numRef>
              <c:f>'Compressive stress model'!$A$25:$A$35</c:f>
              <c:numCache>
                <c:formatCode>General</c:formatCode>
                <c:ptCount val="11"/>
                <c:pt idx="0">
                  <c:v>3.3</c:v>
                </c:pt>
                <c:pt idx="1">
                  <c:v>4</c:v>
                </c:pt>
                <c:pt idx="2">
                  <c:v>4.5</c:v>
                </c:pt>
                <c:pt idx="3">
                  <c:v>5</c:v>
                </c:pt>
                <c:pt idx="4">
                  <c:v>5.5</c:v>
                </c:pt>
                <c:pt idx="5">
                  <c:v>6</c:v>
                </c:pt>
                <c:pt idx="6">
                  <c:v>6.5</c:v>
                </c:pt>
                <c:pt idx="7">
                  <c:v>7</c:v>
                </c:pt>
                <c:pt idx="8">
                  <c:v>7.5</c:v>
                </c:pt>
                <c:pt idx="9">
                  <c:v>8</c:v>
                </c:pt>
                <c:pt idx="10">
                  <c:v>8.8000000000000007</c:v>
                </c:pt>
              </c:numCache>
            </c:numRef>
          </c:xVal>
          <c:yVal>
            <c:numRef>
              <c:f>'Compressive stress model'!$B$25:$B$35</c:f>
              <c:numCache>
                <c:formatCode>General</c:formatCode>
                <c:ptCount val="11"/>
                <c:pt idx="0">
                  <c:v>0.67962399999999956</c:v>
                </c:pt>
                <c:pt idx="1">
                  <c:v>0.83269999999999944</c:v>
                </c:pt>
                <c:pt idx="2">
                  <c:v>0.91119999999999979</c:v>
                </c:pt>
                <c:pt idx="3">
                  <c:v>0.9639999999999993</c:v>
                </c:pt>
                <c:pt idx="4">
                  <c:v>0.99109999999999887</c:v>
                </c:pt>
                <c:pt idx="5">
                  <c:v>0.99249999999999927</c:v>
                </c:pt>
                <c:pt idx="6">
                  <c:v>0.96819999999999884</c:v>
                </c:pt>
                <c:pt idx="7">
                  <c:v>0.91819999999999913</c:v>
                </c:pt>
                <c:pt idx="8">
                  <c:v>0.84249999999999992</c:v>
                </c:pt>
                <c:pt idx="9">
                  <c:v>0.7410999999999992</c:v>
                </c:pt>
                <c:pt idx="10">
                  <c:v>0.52540399999999854</c:v>
                </c:pt>
              </c:numCache>
            </c:numRef>
          </c:yVal>
          <c:smooth val="1"/>
        </c:ser>
        <c:ser>
          <c:idx val="1"/>
          <c:order val="1"/>
          <c:tx>
            <c:v>t=150</c:v>
          </c:tx>
          <c:xVal>
            <c:numRef>
              <c:f>'Compressive stress model'!$A$25:$A$35</c:f>
              <c:numCache>
                <c:formatCode>General</c:formatCode>
                <c:ptCount val="11"/>
                <c:pt idx="0">
                  <c:v>3.3</c:v>
                </c:pt>
                <c:pt idx="1">
                  <c:v>4</c:v>
                </c:pt>
                <c:pt idx="2">
                  <c:v>4.5</c:v>
                </c:pt>
                <c:pt idx="3">
                  <c:v>5</c:v>
                </c:pt>
                <c:pt idx="4">
                  <c:v>5.5</c:v>
                </c:pt>
                <c:pt idx="5">
                  <c:v>6</c:v>
                </c:pt>
                <c:pt idx="6">
                  <c:v>6.5</c:v>
                </c:pt>
                <c:pt idx="7">
                  <c:v>7</c:v>
                </c:pt>
                <c:pt idx="8">
                  <c:v>7.5</c:v>
                </c:pt>
                <c:pt idx="9">
                  <c:v>8</c:v>
                </c:pt>
                <c:pt idx="10">
                  <c:v>8.8000000000000007</c:v>
                </c:pt>
              </c:numCache>
            </c:numRef>
          </c:xVal>
          <c:yVal>
            <c:numRef>
              <c:f>'Compressive stress model'!$C$25:$C$35</c:f>
              <c:numCache>
                <c:formatCode>General</c:formatCode>
                <c:ptCount val="11"/>
                <c:pt idx="0">
                  <c:v>0.82180399999999976</c:v>
                </c:pt>
                <c:pt idx="1">
                  <c:v>0.96409999999999996</c:v>
                </c:pt>
                <c:pt idx="2">
                  <c:v>1.0349000000000004</c:v>
                </c:pt>
                <c:pt idx="3">
                  <c:v>1.0799999999999998</c:v>
                </c:pt>
                <c:pt idx="4">
                  <c:v>1.0993999999999993</c:v>
                </c:pt>
                <c:pt idx="5">
                  <c:v>1.0930999999999997</c:v>
                </c:pt>
                <c:pt idx="6">
                  <c:v>1.0610999999999993</c:v>
                </c:pt>
                <c:pt idx="7">
                  <c:v>1.0033999999999996</c:v>
                </c:pt>
                <c:pt idx="8">
                  <c:v>0.92000000000000037</c:v>
                </c:pt>
                <c:pt idx="9">
                  <c:v>0.81089999999999973</c:v>
                </c:pt>
                <c:pt idx="10">
                  <c:v>0.58288399999999907</c:v>
                </c:pt>
              </c:numCache>
            </c:numRef>
          </c:yVal>
          <c:smooth val="1"/>
        </c:ser>
        <c:ser>
          <c:idx val="2"/>
          <c:order val="2"/>
          <c:tx>
            <c:v>T=180</c:v>
          </c:tx>
          <c:xVal>
            <c:numRef>
              <c:f>'Compressive stress model'!$A$25:$A$35</c:f>
              <c:numCache>
                <c:formatCode>General</c:formatCode>
                <c:ptCount val="11"/>
                <c:pt idx="0">
                  <c:v>3.3</c:v>
                </c:pt>
                <c:pt idx="1">
                  <c:v>4</c:v>
                </c:pt>
                <c:pt idx="2">
                  <c:v>4.5</c:v>
                </c:pt>
                <c:pt idx="3">
                  <c:v>5</c:v>
                </c:pt>
                <c:pt idx="4">
                  <c:v>5.5</c:v>
                </c:pt>
                <c:pt idx="5">
                  <c:v>6</c:v>
                </c:pt>
                <c:pt idx="6">
                  <c:v>6.5</c:v>
                </c:pt>
                <c:pt idx="7">
                  <c:v>7</c:v>
                </c:pt>
                <c:pt idx="8">
                  <c:v>7.5</c:v>
                </c:pt>
                <c:pt idx="9">
                  <c:v>8</c:v>
                </c:pt>
                <c:pt idx="10">
                  <c:v>8.8000000000000007</c:v>
                </c:pt>
              </c:numCache>
            </c:numRef>
          </c:xVal>
          <c:yVal>
            <c:numRef>
              <c:f>'Compressive stress model'!$D$25:$D$35</c:f>
              <c:numCache>
                <c:formatCode>General</c:formatCode>
                <c:ptCount val="11"/>
                <c:pt idx="0">
                  <c:v>0.9150739999999995</c:v>
                </c:pt>
                <c:pt idx="1">
                  <c:v>1.0411999999999997</c:v>
                </c:pt>
                <c:pt idx="2">
                  <c:v>1.100449999999999</c:v>
                </c:pt>
                <c:pt idx="3">
                  <c:v>1.1339999999999995</c:v>
                </c:pt>
                <c:pt idx="4">
                  <c:v>1.14185</c:v>
                </c:pt>
                <c:pt idx="5">
                  <c:v>1.1239999999999997</c:v>
                </c:pt>
                <c:pt idx="6">
                  <c:v>1.0804499999999986</c:v>
                </c:pt>
                <c:pt idx="7">
                  <c:v>1.0111999999999999</c:v>
                </c:pt>
                <c:pt idx="8">
                  <c:v>0.91624999999999956</c:v>
                </c:pt>
                <c:pt idx="9">
                  <c:v>0.79559999999999897</c:v>
                </c:pt>
                <c:pt idx="10">
                  <c:v>0.54910399999999915</c:v>
                </c:pt>
              </c:numCache>
            </c:numRef>
          </c:yVal>
          <c:smooth val="1"/>
        </c:ser>
        <c:ser>
          <c:idx val="3"/>
          <c:order val="3"/>
          <c:tx>
            <c:v>T=200</c:v>
          </c:tx>
          <c:xVal>
            <c:numRef>
              <c:f>'Compressive stress model'!$A$25:$A$35</c:f>
              <c:numCache>
                <c:formatCode>General</c:formatCode>
                <c:ptCount val="11"/>
                <c:pt idx="0">
                  <c:v>3.3</c:v>
                </c:pt>
                <c:pt idx="1">
                  <c:v>4</c:v>
                </c:pt>
                <c:pt idx="2">
                  <c:v>4.5</c:v>
                </c:pt>
                <c:pt idx="3">
                  <c:v>5</c:v>
                </c:pt>
                <c:pt idx="4">
                  <c:v>5.5</c:v>
                </c:pt>
                <c:pt idx="5">
                  <c:v>6</c:v>
                </c:pt>
                <c:pt idx="6">
                  <c:v>6.5</c:v>
                </c:pt>
                <c:pt idx="7">
                  <c:v>7</c:v>
                </c:pt>
                <c:pt idx="8">
                  <c:v>7.5</c:v>
                </c:pt>
                <c:pt idx="9">
                  <c:v>8</c:v>
                </c:pt>
                <c:pt idx="10">
                  <c:v>8.8000000000000007</c:v>
                </c:pt>
              </c:numCache>
            </c:numRef>
          </c:xVal>
          <c:yVal>
            <c:numRef>
              <c:f>'Compressive stress model'!$E$25:$E$35</c:f>
              <c:numCache>
                <c:formatCode>General</c:formatCode>
                <c:ptCount val="11"/>
                <c:pt idx="0">
                  <c:v>0.89725399999999933</c:v>
                </c:pt>
                <c:pt idx="1">
                  <c:v>1.0125999999999995</c:v>
                </c:pt>
                <c:pt idx="2">
                  <c:v>1.0641499999999993</c:v>
                </c:pt>
                <c:pt idx="3">
                  <c:v>1.0899999999999994</c:v>
                </c:pt>
                <c:pt idx="4">
                  <c:v>1.09015</c:v>
                </c:pt>
                <c:pt idx="5">
                  <c:v>1.0645999999999995</c:v>
                </c:pt>
                <c:pt idx="6">
                  <c:v>1.0133499999999991</c:v>
                </c:pt>
                <c:pt idx="7">
                  <c:v>0.93639999999999923</c:v>
                </c:pt>
                <c:pt idx="8">
                  <c:v>0.83374999999999999</c:v>
                </c:pt>
                <c:pt idx="9">
                  <c:v>0.70539999999999936</c:v>
                </c:pt>
                <c:pt idx="10">
                  <c:v>0.44658399999999765</c:v>
                </c:pt>
              </c:numCache>
            </c:numRef>
          </c:yVal>
          <c:smooth val="1"/>
        </c:ser>
        <c:ser>
          <c:idx val="4"/>
          <c:order val="4"/>
          <c:tx>
            <c:v>T=230</c:v>
          </c:tx>
          <c:xVal>
            <c:numRef>
              <c:f>'Compressive stress model'!$A$25:$A$35</c:f>
              <c:numCache>
                <c:formatCode>General</c:formatCode>
                <c:ptCount val="11"/>
                <c:pt idx="0">
                  <c:v>3.3</c:v>
                </c:pt>
                <c:pt idx="1">
                  <c:v>4</c:v>
                </c:pt>
                <c:pt idx="2">
                  <c:v>4.5</c:v>
                </c:pt>
                <c:pt idx="3">
                  <c:v>5</c:v>
                </c:pt>
                <c:pt idx="4">
                  <c:v>5.5</c:v>
                </c:pt>
                <c:pt idx="5">
                  <c:v>6</c:v>
                </c:pt>
                <c:pt idx="6">
                  <c:v>6.5</c:v>
                </c:pt>
                <c:pt idx="7">
                  <c:v>7</c:v>
                </c:pt>
                <c:pt idx="8">
                  <c:v>7.5</c:v>
                </c:pt>
                <c:pt idx="9">
                  <c:v>8</c:v>
                </c:pt>
                <c:pt idx="10">
                  <c:v>8.8000000000000007</c:v>
                </c:pt>
              </c:numCache>
            </c:numRef>
          </c:xVal>
          <c:yVal>
            <c:numRef>
              <c:f>'Compressive stress model'!$F$25:$F$35</c:f>
              <c:numCache>
                <c:formatCode>General</c:formatCode>
                <c:ptCount val="11"/>
                <c:pt idx="0">
                  <c:v>0.75052399999999941</c:v>
                </c:pt>
                <c:pt idx="1">
                  <c:v>0.84969999999999968</c:v>
                </c:pt>
                <c:pt idx="2">
                  <c:v>0.88970000000000005</c:v>
                </c:pt>
                <c:pt idx="3">
                  <c:v>0.90399999999999947</c:v>
                </c:pt>
                <c:pt idx="4">
                  <c:v>0.89259999999999917</c:v>
                </c:pt>
                <c:pt idx="5">
                  <c:v>0.85549999999999882</c:v>
                </c:pt>
                <c:pt idx="6">
                  <c:v>0.79269999999999996</c:v>
                </c:pt>
                <c:pt idx="7">
                  <c:v>0.70419999999999949</c:v>
                </c:pt>
                <c:pt idx="8">
                  <c:v>0.58999999999999919</c:v>
                </c:pt>
                <c:pt idx="9">
                  <c:v>0.45010000000000039</c:v>
                </c:pt>
                <c:pt idx="10">
                  <c:v>0.17280399999999885</c:v>
                </c:pt>
              </c:numCache>
            </c:numRef>
          </c:yVal>
          <c:smooth val="1"/>
        </c:ser>
        <c:ser>
          <c:idx val="5"/>
          <c:order val="5"/>
          <c:tx>
            <c:v>T=260</c:v>
          </c:tx>
          <c:xVal>
            <c:numRef>
              <c:f>'Compressive stress model'!$A$25:$A$35</c:f>
              <c:numCache>
                <c:formatCode>General</c:formatCode>
                <c:ptCount val="11"/>
                <c:pt idx="0">
                  <c:v>3.3</c:v>
                </c:pt>
                <c:pt idx="1">
                  <c:v>4</c:v>
                </c:pt>
                <c:pt idx="2">
                  <c:v>4.5</c:v>
                </c:pt>
                <c:pt idx="3">
                  <c:v>5</c:v>
                </c:pt>
                <c:pt idx="4">
                  <c:v>5.5</c:v>
                </c:pt>
                <c:pt idx="5">
                  <c:v>6</c:v>
                </c:pt>
                <c:pt idx="6">
                  <c:v>6.5</c:v>
                </c:pt>
                <c:pt idx="7">
                  <c:v>7</c:v>
                </c:pt>
                <c:pt idx="8">
                  <c:v>7.5</c:v>
                </c:pt>
                <c:pt idx="9">
                  <c:v>8</c:v>
                </c:pt>
                <c:pt idx="10">
                  <c:v>8.8000000000000007</c:v>
                </c:pt>
              </c:numCache>
            </c:numRef>
          </c:xVal>
          <c:yVal>
            <c:numRef>
              <c:f>'Compressive stress model'!$G$25:$G$35</c:f>
              <c:numCache>
                <c:formatCode>General</c:formatCode>
                <c:ptCount val="11"/>
                <c:pt idx="0">
                  <c:v>0.45979399999999926</c:v>
                </c:pt>
                <c:pt idx="1">
                  <c:v>0.54279999999999951</c:v>
                </c:pt>
                <c:pt idx="2">
                  <c:v>0.57124999999999904</c:v>
                </c:pt>
                <c:pt idx="3">
                  <c:v>0.57400000000000029</c:v>
                </c:pt>
                <c:pt idx="4">
                  <c:v>0.55104999999999982</c:v>
                </c:pt>
                <c:pt idx="5">
                  <c:v>0.50239999999999929</c:v>
                </c:pt>
                <c:pt idx="6">
                  <c:v>0.42804999999999893</c:v>
                </c:pt>
                <c:pt idx="7">
                  <c:v>0.32799999999999829</c:v>
                </c:pt>
                <c:pt idx="8">
                  <c:v>0.20225000000000004</c:v>
                </c:pt>
                <c:pt idx="9">
                  <c:v>5.079999999999929E-2</c:v>
                </c:pt>
                <c:pt idx="10">
                  <c:v>-0.24497600000000053</c:v>
                </c:pt>
              </c:numCache>
            </c:numRef>
          </c:yVal>
          <c:smooth val="1"/>
        </c:ser>
        <c:ser>
          <c:idx val="6"/>
          <c:order val="6"/>
          <c:tx>
            <c:v>T=270</c:v>
          </c:tx>
          <c:xVal>
            <c:numRef>
              <c:f>'Compressive stress model'!$A$25:$A$35</c:f>
              <c:numCache>
                <c:formatCode>General</c:formatCode>
                <c:ptCount val="11"/>
                <c:pt idx="0">
                  <c:v>3.3</c:v>
                </c:pt>
                <c:pt idx="1">
                  <c:v>4</c:v>
                </c:pt>
                <c:pt idx="2">
                  <c:v>4.5</c:v>
                </c:pt>
                <c:pt idx="3">
                  <c:v>5</c:v>
                </c:pt>
                <c:pt idx="4">
                  <c:v>5.5</c:v>
                </c:pt>
                <c:pt idx="5">
                  <c:v>6</c:v>
                </c:pt>
                <c:pt idx="6">
                  <c:v>6.5</c:v>
                </c:pt>
                <c:pt idx="7">
                  <c:v>7</c:v>
                </c:pt>
                <c:pt idx="8">
                  <c:v>7.5</c:v>
                </c:pt>
                <c:pt idx="9">
                  <c:v>8</c:v>
                </c:pt>
                <c:pt idx="10">
                  <c:v>8.8000000000000007</c:v>
                </c:pt>
              </c:numCache>
            </c:numRef>
          </c:xVal>
          <c:yVal>
            <c:numRef>
              <c:f>'Compressive stress model'!$H$25:$H$35</c:f>
              <c:numCache>
                <c:formatCode>General</c:formatCode>
                <c:ptCount val="11"/>
                <c:pt idx="0">
                  <c:v>0.33088399999999973</c:v>
                </c:pt>
                <c:pt idx="1">
                  <c:v>0.40849999999999997</c:v>
                </c:pt>
                <c:pt idx="2">
                  <c:v>0.43309999999999949</c:v>
                </c:pt>
                <c:pt idx="3">
                  <c:v>0.43199999999999883</c:v>
                </c:pt>
                <c:pt idx="4">
                  <c:v>0.40520000000000023</c:v>
                </c:pt>
                <c:pt idx="5">
                  <c:v>0.35269999999999979</c:v>
                </c:pt>
                <c:pt idx="6">
                  <c:v>0.2744999999999993</c:v>
                </c:pt>
                <c:pt idx="7">
                  <c:v>0.17060000000000053</c:v>
                </c:pt>
                <c:pt idx="8">
                  <c:v>4.1000000000000369E-2</c:v>
                </c:pt>
                <c:pt idx="9">
                  <c:v>-0.11430000000000029</c:v>
                </c:pt>
                <c:pt idx="10">
                  <c:v>-0.41623600000000205</c:v>
                </c:pt>
              </c:numCache>
            </c:numRef>
          </c:yVal>
          <c:smooth val="1"/>
        </c:ser>
        <c:axId val="121777536"/>
        <c:axId val="121787520"/>
      </c:scatterChart>
      <c:valAx>
        <c:axId val="121777536"/>
        <c:scaling>
          <c:orientation val="minMax"/>
          <c:max val="9"/>
          <c:min val="3"/>
        </c:scaling>
        <c:axPos val="b"/>
        <c:numFmt formatCode="General" sourceLinked="1"/>
        <c:tickLblPos val="nextTo"/>
        <c:crossAx val="121787520"/>
        <c:crossesAt val="-0.5"/>
        <c:crossBetween val="midCat"/>
        <c:majorUnit val="1"/>
      </c:valAx>
      <c:valAx>
        <c:axId val="121787520"/>
        <c:scaling>
          <c:orientation val="minMax"/>
          <c:max val="1.3"/>
          <c:min val="-0.5"/>
        </c:scaling>
        <c:axPos val="l"/>
        <c:majorGridlines/>
        <c:numFmt formatCode="General" sourceLinked="1"/>
        <c:tickLblPos val="nextTo"/>
        <c:crossAx val="121777536"/>
        <c:crosses val="autoZero"/>
        <c:crossBetween val="midCat"/>
        <c:majorUnit val="0.25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xVal>
            <c:numRef>
              <c:f>'Sieve analysis'!$A$5:$A$11</c:f>
              <c:numCache>
                <c:formatCode>General</c:formatCode>
                <c:ptCount val="7"/>
                <c:pt idx="0">
                  <c:v>300</c:v>
                </c:pt>
                <c:pt idx="1">
                  <c:v>212</c:v>
                </c:pt>
                <c:pt idx="2">
                  <c:v>150</c:v>
                </c:pt>
                <c:pt idx="3">
                  <c:v>90</c:v>
                </c:pt>
                <c:pt idx="4">
                  <c:v>75</c:v>
                </c:pt>
                <c:pt idx="5">
                  <c:v>63</c:v>
                </c:pt>
                <c:pt idx="6">
                  <c:v>38</c:v>
                </c:pt>
              </c:numCache>
            </c:numRef>
          </c:xVal>
          <c:yVal>
            <c:numRef>
              <c:f>'Sieve analysis'!$F$5:$F$11</c:f>
              <c:numCache>
                <c:formatCode>General</c:formatCode>
                <c:ptCount val="7"/>
                <c:pt idx="0">
                  <c:v>100</c:v>
                </c:pt>
                <c:pt idx="1">
                  <c:v>93.15352697095436</c:v>
                </c:pt>
                <c:pt idx="2">
                  <c:v>68.724066390041486</c:v>
                </c:pt>
                <c:pt idx="3">
                  <c:v>42.531120331950206</c:v>
                </c:pt>
                <c:pt idx="4">
                  <c:v>28.890041493775925</c:v>
                </c:pt>
                <c:pt idx="5">
                  <c:v>21.36929460580912</c:v>
                </c:pt>
                <c:pt idx="6">
                  <c:v>5.7053941908713384</c:v>
                </c:pt>
              </c:numCache>
            </c:numRef>
          </c:yVal>
        </c:ser>
        <c:axId val="121975552"/>
        <c:axId val="121977088"/>
      </c:scatterChart>
      <c:valAx>
        <c:axId val="121975552"/>
        <c:scaling>
          <c:orientation val="minMax"/>
        </c:scaling>
        <c:axPos val="b"/>
        <c:numFmt formatCode="General" sourceLinked="1"/>
        <c:tickLblPos val="nextTo"/>
        <c:crossAx val="121977088"/>
        <c:crosses val="autoZero"/>
        <c:crossBetween val="midCat"/>
      </c:valAx>
      <c:valAx>
        <c:axId val="121977088"/>
        <c:scaling>
          <c:orientation val="minMax"/>
        </c:scaling>
        <c:axPos val="l"/>
        <c:majorGridlines/>
        <c:numFmt formatCode="General" sourceLinked="1"/>
        <c:tickLblPos val="nextTo"/>
        <c:crossAx val="1219755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76200</xdr:rowOff>
    </xdr:from>
    <xdr:to>
      <xdr:col>10</xdr:col>
      <xdr:colOff>152400</xdr:colOff>
      <xdr:row>14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831272</xdr:colOff>
      <xdr:row>16</xdr:row>
      <xdr:rowOff>121227</xdr:rowOff>
    </xdr:from>
    <xdr:to>
      <xdr:col>10</xdr:col>
      <xdr:colOff>415636</xdr:colOff>
      <xdr:row>16</xdr:row>
      <xdr:rowOff>129886</xdr:rowOff>
    </xdr:to>
    <xdr:cxnSp macro="">
      <xdr:nvCxnSpPr>
        <xdr:cNvPr id="10" name="Straight Connector 9"/>
        <xdr:cNvCxnSpPr/>
      </xdr:nvCxnSpPr>
      <xdr:spPr>
        <a:xfrm>
          <a:off x="4130386" y="3550227"/>
          <a:ext cx="5230091" cy="8659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1120103</xdr:colOff>
      <xdr:row>15</xdr:row>
      <xdr:rowOff>139212</xdr:rowOff>
    </xdr:from>
    <xdr:to>
      <xdr:col>2</xdr:col>
      <xdr:colOff>1122363</xdr:colOff>
      <xdr:row>16</xdr:row>
      <xdr:rowOff>127551</xdr:rowOff>
    </xdr:to>
    <xdr:cxnSp macro="">
      <xdr:nvCxnSpPr>
        <xdr:cNvPr id="16" name="Straight Connector 15"/>
        <xdr:cNvCxnSpPr/>
      </xdr:nvCxnSpPr>
      <xdr:spPr>
        <a:xfrm rot="5400000" flipH="1" flipV="1">
          <a:off x="4330927" y="3466002"/>
          <a:ext cx="178839" cy="22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233135</xdr:colOff>
      <xdr:row>15</xdr:row>
      <xdr:rowOff>146539</xdr:rowOff>
    </xdr:from>
    <xdr:to>
      <xdr:col>4</xdr:col>
      <xdr:colOff>234540</xdr:colOff>
      <xdr:row>16</xdr:row>
      <xdr:rowOff>141471</xdr:rowOff>
    </xdr:to>
    <xdr:cxnSp macro="">
      <xdr:nvCxnSpPr>
        <xdr:cNvPr id="18" name="Straight Connector 17"/>
        <xdr:cNvCxnSpPr/>
      </xdr:nvCxnSpPr>
      <xdr:spPr>
        <a:xfrm rot="16200000" flipV="1">
          <a:off x="5449145" y="3477052"/>
          <a:ext cx="185432" cy="14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144545</xdr:colOff>
      <xdr:row>15</xdr:row>
      <xdr:rowOff>139212</xdr:rowOff>
    </xdr:from>
    <xdr:to>
      <xdr:col>6</xdr:col>
      <xdr:colOff>145950</xdr:colOff>
      <xdr:row>16</xdr:row>
      <xdr:rowOff>134144</xdr:rowOff>
    </xdr:to>
    <xdr:cxnSp macro="">
      <xdr:nvCxnSpPr>
        <xdr:cNvPr id="22" name="Straight Connector 21"/>
        <xdr:cNvCxnSpPr/>
      </xdr:nvCxnSpPr>
      <xdr:spPr>
        <a:xfrm rot="16200000" flipV="1">
          <a:off x="6572827" y="3469725"/>
          <a:ext cx="185432" cy="14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31840</xdr:colOff>
      <xdr:row>15</xdr:row>
      <xdr:rowOff>130419</xdr:rowOff>
    </xdr:from>
    <xdr:to>
      <xdr:col>8</xdr:col>
      <xdr:colOff>33245</xdr:colOff>
      <xdr:row>16</xdr:row>
      <xdr:rowOff>125351</xdr:rowOff>
    </xdr:to>
    <xdr:cxnSp macro="">
      <xdr:nvCxnSpPr>
        <xdr:cNvPr id="23" name="Straight Connector 22"/>
        <xdr:cNvCxnSpPr/>
      </xdr:nvCxnSpPr>
      <xdr:spPr>
        <a:xfrm rot="16200000" flipV="1">
          <a:off x="7672395" y="3460932"/>
          <a:ext cx="185432" cy="14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563241</xdr:colOff>
      <xdr:row>15</xdr:row>
      <xdr:rowOff>143607</xdr:rowOff>
    </xdr:from>
    <xdr:to>
      <xdr:col>9</xdr:col>
      <xdr:colOff>564646</xdr:colOff>
      <xdr:row>16</xdr:row>
      <xdr:rowOff>138539</xdr:rowOff>
    </xdr:to>
    <xdr:cxnSp macro="">
      <xdr:nvCxnSpPr>
        <xdr:cNvPr id="24" name="Straight Connector 23"/>
        <xdr:cNvCxnSpPr/>
      </xdr:nvCxnSpPr>
      <xdr:spPr>
        <a:xfrm rot="16200000" flipV="1">
          <a:off x="8809933" y="3474120"/>
          <a:ext cx="185432" cy="14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859922</xdr:colOff>
      <xdr:row>17</xdr:row>
      <xdr:rowOff>14654</xdr:rowOff>
    </xdr:from>
    <xdr:to>
      <xdr:col>2</xdr:col>
      <xdr:colOff>1290212</xdr:colOff>
      <xdr:row>18</xdr:row>
      <xdr:rowOff>146539</xdr:rowOff>
    </xdr:to>
    <xdr:sp macro="" textlink="">
      <xdr:nvSpPr>
        <xdr:cNvPr id="26" name="TextBox 25"/>
        <xdr:cNvSpPr txBox="1"/>
      </xdr:nvSpPr>
      <xdr:spPr>
        <a:xfrm>
          <a:off x="4159036" y="3634154"/>
          <a:ext cx="430290" cy="322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GB" sz="1100"/>
            <a:t>-2</a:t>
          </a:r>
        </a:p>
      </xdr:txBody>
    </xdr:sp>
    <xdr:clientData/>
  </xdr:twoCellAnchor>
  <xdr:twoCellAnchor>
    <xdr:from>
      <xdr:col>4</xdr:col>
      <xdr:colOff>21986</xdr:colOff>
      <xdr:row>17</xdr:row>
      <xdr:rowOff>36635</xdr:rowOff>
    </xdr:from>
    <xdr:to>
      <xdr:col>4</xdr:col>
      <xdr:colOff>452275</xdr:colOff>
      <xdr:row>18</xdr:row>
      <xdr:rowOff>168520</xdr:rowOff>
    </xdr:to>
    <xdr:sp macro="" textlink="">
      <xdr:nvSpPr>
        <xdr:cNvPr id="27" name="TextBox 26"/>
        <xdr:cNvSpPr txBox="1"/>
      </xdr:nvSpPr>
      <xdr:spPr>
        <a:xfrm>
          <a:off x="5330009" y="3656135"/>
          <a:ext cx="430289" cy="322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GB" sz="1100"/>
            <a:t>1</a:t>
          </a:r>
        </a:p>
      </xdr:txBody>
    </xdr:sp>
    <xdr:clientData/>
  </xdr:twoCellAnchor>
  <xdr:twoCellAnchor>
    <xdr:from>
      <xdr:col>5</xdr:col>
      <xdr:colOff>542063</xdr:colOff>
      <xdr:row>17</xdr:row>
      <xdr:rowOff>49823</xdr:rowOff>
    </xdr:from>
    <xdr:to>
      <xdr:col>6</xdr:col>
      <xdr:colOff>366217</xdr:colOff>
      <xdr:row>18</xdr:row>
      <xdr:rowOff>181708</xdr:rowOff>
    </xdr:to>
    <xdr:sp macro="" textlink="">
      <xdr:nvSpPr>
        <xdr:cNvPr id="28" name="TextBox 27"/>
        <xdr:cNvSpPr txBox="1"/>
      </xdr:nvSpPr>
      <xdr:spPr>
        <a:xfrm>
          <a:off x="6456222" y="3669323"/>
          <a:ext cx="430290" cy="322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GB" sz="1100"/>
            <a:t>0</a:t>
          </a:r>
        </a:p>
      </xdr:txBody>
    </xdr:sp>
    <xdr:clientData/>
  </xdr:twoCellAnchor>
  <xdr:twoCellAnchor>
    <xdr:from>
      <xdr:col>7</xdr:col>
      <xdr:colOff>428693</xdr:colOff>
      <xdr:row>17</xdr:row>
      <xdr:rowOff>41031</xdr:rowOff>
    </xdr:from>
    <xdr:to>
      <xdr:col>8</xdr:col>
      <xdr:colOff>252847</xdr:colOff>
      <xdr:row>18</xdr:row>
      <xdr:rowOff>172916</xdr:rowOff>
    </xdr:to>
    <xdr:sp macro="" textlink="">
      <xdr:nvSpPr>
        <xdr:cNvPr id="29" name="TextBox 28"/>
        <xdr:cNvSpPr txBox="1"/>
      </xdr:nvSpPr>
      <xdr:spPr>
        <a:xfrm>
          <a:off x="7555125" y="3660531"/>
          <a:ext cx="430290" cy="322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GB" sz="1100"/>
            <a:t>1	</a:t>
          </a:r>
        </a:p>
      </xdr:txBody>
    </xdr:sp>
    <xdr:clientData/>
  </xdr:twoCellAnchor>
  <xdr:twoCellAnchor>
    <xdr:from>
      <xdr:col>9</xdr:col>
      <xdr:colOff>341966</xdr:colOff>
      <xdr:row>17</xdr:row>
      <xdr:rowOff>46893</xdr:rowOff>
    </xdr:from>
    <xdr:to>
      <xdr:col>10</xdr:col>
      <xdr:colOff>166119</xdr:colOff>
      <xdr:row>18</xdr:row>
      <xdr:rowOff>178778</xdr:rowOff>
    </xdr:to>
    <xdr:sp macro="" textlink="">
      <xdr:nvSpPr>
        <xdr:cNvPr id="30" name="TextBox 29"/>
        <xdr:cNvSpPr txBox="1"/>
      </xdr:nvSpPr>
      <xdr:spPr>
        <a:xfrm>
          <a:off x="8680671" y="3666393"/>
          <a:ext cx="430289" cy="322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GB" sz="1100"/>
            <a:t>2</a:t>
          </a:r>
        </a:p>
      </xdr:txBody>
    </xdr:sp>
    <xdr:clientData/>
  </xdr:twoCellAnchor>
  <xdr:twoCellAnchor>
    <xdr:from>
      <xdr:col>5</xdr:col>
      <xdr:colOff>467589</xdr:colOff>
      <xdr:row>19</xdr:row>
      <xdr:rowOff>108572</xdr:rowOff>
    </xdr:from>
    <xdr:to>
      <xdr:col>6</xdr:col>
      <xdr:colOff>570166</xdr:colOff>
      <xdr:row>21</xdr:row>
      <xdr:rowOff>86591</xdr:rowOff>
    </xdr:to>
    <xdr:sp macro="" textlink="">
      <xdr:nvSpPr>
        <xdr:cNvPr id="31" name="TextBox 30"/>
        <xdr:cNvSpPr txBox="1"/>
      </xdr:nvSpPr>
      <xdr:spPr>
        <a:xfrm>
          <a:off x="6381748" y="4109072"/>
          <a:ext cx="708713" cy="3590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GB" sz="2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X</a:t>
          </a:r>
          <a:r>
            <a:rPr lang="en-GB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n-GB" sz="2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GB" sz="2400"/>
        </a:p>
      </xdr:txBody>
    </xdr:sp>
    <xdr:clientData/>
  </xdr:twoCellAnchor>
  <xdr:twoCellAnchor>
    <xdr:from>
      <xdr:col>2</xdr:col>
      <xdr:colOff>250828</xdr:colOff>
      <xdr:row>1</xdr:row>
      <xdr:rowOff>147206</xdr:rowOff>
    </xdr:from>
    <xdr:to>
      <xdr:col>2</xdr:col>
      <xdr:colOff>251113</xdr:colOff>
      <xdr:row>12</xdr:row>
      <xdr:rowOff>109541</xdr:rowOff>
    </xdr:to>
    <xdr:cxnSp macro="">
      <xdr:nvCxnSpPr>
        <xdr:cNvPr id="32" name="Straight Connector 31"/>
        <xdr:cNvCxnSpPr/>
      </xdr:nvCxnSpPr>
      <xdr:spPr>
        <a:xfrm rot="5400000" flipH="1" flipV="1">
          <a:off x="2521167" y="1747481"/>
          <a:ext cx="2057835" cy="28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277815</xdr:colOff>
      <xdr:row>4</xdr:row>
      <xdr:rowOff>182562</xdr:rowOff>
    </xdr:from>
    <xdr:to>
      <xdr:col>2</xdr:col>
      <xdr:colOff>508003</xdr:colOff>
      <xdr:row>4</xdr:row>
      <xdr:rowOff>186777</xdr:rowOff>
    </xdr:to>
    <xdr:cxnSp macro="">
      <xdr:nvCxnSpPr>
        <xdr:cNvPr id="34" name="Straight Connector 33"/>
        <xdr:cNvCxnSpPr/>
      </xdr:nvCxnSpPr>
      <xdr:spPr>
        <a:xfrm flipV="1">
          <a:off x="3182940" y="1325562"/>
          <a:ext cx="230188" cy="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279402</xdr:colOff>
      <xdr:row>7</xdr:row>
      <xdr:rowOff>1587</xdr:rowOff>
    </xdr:from>
    <xdr:to>
      <xdr:col>2</xdr:col>
      <xdr:colOff>509590</xdr:colOff>
      <xdr:row>7</xdr:row>
      <xdr:rowOff>5802</xdr:rowOff>
    </xdr:to>
    <xdr:cxnSp macro="">
      <xdr:nvCxnSpPr>
        <xdr:cNvPr id="43" name="Straight Connector 42"/>
        <xdr:cNvCxnSpPr/>
      </xdr:nvCxnSpPr>
      <xdr:spPr>
        <a:xfrm flipV="1">
          <a:off x="3184527" y="1716087"/>
          <a:ext cx="230188" cy="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265114</xdr:colOff>
      <xdr:row>10</xdr:row>
      <xdr:rowOff>185738</xdr:rowOff>
    </xdr:from>
    <xdr:to>
      <xdr:col>2</xdr:col>
      <xdr:colOff>495302</xdr:colOff>
      <xdr:row>10</xdr:row>
      <xdr:rowOff>189953</xdr:rowOff>
    </xdr:to>
    <xdr:cxnSp macro="">
      <xdr:nvCxnSpPr>
        <xdr:cNvPr id="44" name="Straight Connector 43"/>
        <xdr:cNvCxnSpPr/>
      </xdr:nvCxnSpPr>
      <xdr:spPr>
        <a:xfrm flipV="1">
          <a:off x="3170239" y="2471738"/>
          <a:ext cx="230188" cy="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266702</xdr:colOff>
      <xdr:row>8</xdr:row>
      <xdr:rowOff>187325</xdr:rowOff>
    </xdr:from>
    <xdr:to>
      <xdr:col>2</xdr:col>
      <xdr:colOff>496890</xdr:colOff>
      <xdr:row>9</xdr:row>
      <xdr:rowOff>1040</xdr:rowOff>
    </xdr:to>
    <xdr:cxnSp macro="">
      <xdr:nvCxnSpPr>
        <xdr:cNvPr id="45" name="Straight Connector 44"/>
        <xdr:cNvCxnSpPr/>
      </xdr:nvCxnSpPr>
      <xdr:spPr>
        <a:xfrm flipV="1">
          <a:off x="3171827" y="2092325"/>
          <a:ext cx="230188" cy="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252414</xdr:colOff>
      <xdr:row>3</xdr:row>
      <xdr:rowOff>6350</xdr:rowOff>
    </xdr:from>
    <xdr:to>
      <xdr:col>2</xdr:col>
      <xdr:colOff>482602</xdr:colOff>
      <xdr:row>3</xdr:row>
      <xdr:rowOff>10565</xdr:rowOff>
    </xdr:to>
    <xdr:cxnSp macro="">
      <xdr:nvCxnSpPr>
        <xdr:cNvPr id="46" name="Straight Connector 45"/>
        <xdr:cNvCxnSpPr/>
      </xdr:nvCxnSpPr>
      <xdr:spPr>
        <a:xfrm flipV="1">
          <a:off x="3157539" y="958850"/>
          <a:ext cx="230188" cy="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71804</xdr:colOff>
      <xdr:row>10</xdr:row>
      <xdr:rowOff>72737</xdr:rowOff>
    </xdr:from>
    <xdr:to>
      <xdr:col>2</xdr:col>
      <xdr:colOff>143607</xdr:colOff>
      <xdr:row>12</xdr:row>
      <xdr:rowOff>23647</xdr:rowOff>
    </xdr:to>
    <xdr:sp macro="" textlink="">
      <xdr:nvSpPr>
        <xdr:cNvPr id="51" name="TextBox 50"/>
        <xdr:cNvSpPr txBox="1"/>
      </xdr:nvSpPr>
      <xdr:spPr>
        <a:xfrm>
          <a:off x="2418418" y="2358737"/>
          <a:ext cx="1024303" cy="3319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GB" sz="1100"/>
            <a:t>-2</a:t>
          </a:r>
        </a:p>
      </xdr:txBody>
    </xdr:sp>
    <xdr:clientData/>
  </xdr:twoCellAnchor>
  <xdr:twoCellAnchor>
    <xdr:from>
      <xdr:col>1</xdr:col>
      <xdr:colOff>104775</xdr:colOff>
      <xdr:row>8</xdr:row>
      <xdr:rowOff>54552</xdr:rowOff>
    </xdr:from>
    <xdr:to>
      <xdr:col>2</xdr:col>
      <xdr:colOff>176578</xdr:colOff>
      <xdr:row>9</xdr:row>
      <xdr:rowOff>186437</xdr:rowOff>
    </xdr:to>
    <xdr:sp macro="" textlink="">
      <xdr:nvSpPr>
        <xdr:cNvPr id="52" name="TextBox 51"/>
        <xdr:cNvSpPr txBox="1"/>
      </xdr:nvSpPr>
      <xdr:spPr>
        <a:xfrm>
          <a:off x="2451389" y="1959552"/>
          <a:ext cx="1024303" cy="322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GB" sz="1100"/>
            <a:t>1</a:t>
          </a:r>
        </a:p>
      </xdr:txBody>
    </xdr:sp>
    <xdr:clientData/>
  </xdr:twoCellAnchor>
  <xdr:twoCellAnchor>
    <xdr:from>
      <xdr:col>1</xdr:col>
      <xdr:colOff>98913</xdr:colOff>
      <xdr:row>6</xdr:row>
      <xdr:rowOff>43295</xdr:rowOff>
    </xdr:from>
    <xdr:to>
      <xdr:col>2</xdr:col>
      <xdr:colOff>170716</xdr:colOff>
      <xdr:row>7</xdr:row>
      <xdr:rowOff>175180</xdr:rowOff>
    </xdr:to>
    <xdr:sp macro="" textlink="">
      <xdr:nvSpPr>
        <xdr:cNvPr id="53" name="TextBox 52"/>
        <xdr:cNvSpPr txBox="1"/>
      </xdr:nvSpPr>
      <xdr:spPr>
        <a:xfrm>
          <a:off x="2445527" y="1567295"/>
          <a:ext cx="1024303" cy="322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GB" sz="1100"/>
            <a:t>0</a:t>
          </a:r>
        </a:p>
      </xdr:txBody>
    </xdr:sp>
    <xdr:clientData/>
  </xdr:twoCellAnchor>
  <xdr:twoCellAnchor>
    <xdr:from>
      <xdr:col>1</xdr:col>
      <xdr:colOff>104775</xdr:colOff>
      <xdr:row>4</xdr:row>
      <xdr:rowOff>51954</xdr:rowOff>
    </xdr:from>
    <xdr:to>
      <xdr:col>2</xdr:col>
      <xdr:colOff>176579</xdr:colOff>
      <xdr:row>5</xdr:row>
      <xdr:rowOff>183839</xdr:rowOff>
    </xdr:to>
    <xdr:sp macro="" textlink="">
      <xdr:nvSpPr>
        <xdr:cNvPr id="54" name="TextBox 53"/>
        <xdr:cNvSpPr txBox="1"/>
      </xdr:nvSpPr>
      <xdr:spPr>
        <a:xfrm>
          <a:off x="2451389" y="1194954"/>
          <a:ext cx="1024304" cy="322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GB" sz="1100"/>
            <a:t>1	</a:t>
          </a:r>
        </a:p>
      </xdr:txBody>
    </xdr:sp>
    <xdr:clientData/>
  </xdr:twoCellAnchor>
  <xdr:twoCellAnchor>
    <xdr:from>
      <xdr:col>1</xdr:col>
      <xdr:colOff>115033</xdr:colOff>
      <xdr:row>2</xdr:row>
      <xdr:rowOff>45027</xdr:rowOff>
    </xdr:from>
    <xdr:to>
      <xdr:col>2</xdr:col>
      <xdr:colOff>186836</xdr:colOff>
      <xdr:row>3</xdr:row>
      <xdr:rowOff>176912</xdr:rowOff>
    </xdr:to>
    <xdr:sp macro="" textlink="">
      <xdr:nvSpPr>
        <xdr:cNvPr id="55" name="TextBox 54"/>
        <xdr:cNvSpPr txBox="1"/>
      </xdr:nvSpPr>
      <xdr:spPr>
        <a:xfrm>
          <a:off x="2461647" y="807027"/>
          <a:ext cx="1024303" cy="322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GB" sz="1100"/>
            <a:t>2</a:t>
          </a:r>
        </a:p>
      </xdr:txBody>
    </xdr:sp>
    <xdr:clientData/>
  </xdr:twoCellAnchor>
  <xdr:twoCellAnchor>
    <xdr:from>
      <xdr:col>0</xdr:col>
      <xdr:colOff>612796</xdr:colOff>
      <xdr:row>6</xdr:row>
      <xdr:rowOff>15320</xdr:rowOff>
    </xdr:from>
    <xdr:to>
      <xdr:col>1</xdr:col>
      <xdr:colOff>488237</xdr:colOff>
      <xdr:row>7</xdr:row>
      <xdr:rowOff>183839</xdr:rowOff>
    </xdr:to>
    <xdr:sp macro="" textlink="">
      <xdr:nvSpPr>
        <xdr:cNvPr id="56" name="TextBox 55"/>
        <xdr:cNvSpPr txBox="1"/>
      </xdr:nvSpPr>
      <xdr:spPr>
        <a:xfrm>
          <a:off x="1825069" y="1539320"/>
          <a:ext cx="1009782" cy="3590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GB" sz="2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X</a:t>
          </a:r>
          <a:r>
            <a:rPr lang="en-GB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n-GB" sz="2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GB" sz="2400"/>
        </a:p>
      </xdr:txBody>
    </xdr:sp>
    <xdr:clientData/>
  </xdr:twoCellAnchor>
  <xdr:twoCellAnchor>
    <xdr:from>
      <xdr:col>3</xdr:col>
      <xdr:colOff>476250</xdr:colOff>
      <xdr:row>34</xdr:row>
      <xdr:rowOff>1</xdr:rowOff>
    </xdr:from>
    <xdr:to>
      <xdr:col>10</xdr:col>
      <xdr:colOff>257175</xdr:colOff>
      <xdr:row>46</xdr:row>
      <xdr:rowOff>1</xdr:rowOff>
    </xdr:to>
    <xdr:sp macro="" textlink="">
      <xdr:nvSpPr>
        <xdr:cNvPr id="62" name="Double Brace 61"/>
        <xdr:cNvSpPr/>
      </xdr:nvSpPr>
      <xdr:spPr>
        <a:xfrm>
          <a:off x="6400800" y="5381626"/>
          <a:ext cx="4048125" cy="2286000"/>
        </a:xfrm>
        <a:prstGeom prst="brace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197645</xdr:colOff>
      <xdr:row>2</xdr:row>
      <xdr:rowOff>247650</xdr:rowOff>
    </xdr:from>
    <xdr:to>
      <xdr:col>18</xdr:col>
      <xdr:colOff>1</xdr:colOff>
      <xdr:row>17</xdr:row>
      <xdr:rowOff>173829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154781</xdr:colOff>
      <xdr:row>19</xdr:row>
      <xdr:rowOff>38100</xdr:rowOff>
    </xdr:from>
    <xdr:to>
      <xdr:col>17</xdr:col>
      <xdr:colOff>400050</xdr:colOff>
      <xdr:row>37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858574</xdr:colOff>
      <xdr:row>38</xdr:row>
      <xdr:rowOff>84667</xdr:rowOff>
    </xdr:from>
    <xdr:to>
      <xdr:col>14</xdr:col>
      <xdr:colOff>116416</xdr:colOff>
      <xdr:row>51</xdr:row>
      <xdr:rowOff>164041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804333</xdr:colOff>
      <xdr:row>25</xdr:row>
      <xdr:rowOff>31750</xdr:rowOff>
    </xdr:from>
    <xdr:to>
      <xdr:col>29</xdr:col>
      <xdr:colOff>531019</xdr:colOff>
      <xdr:row>43</xdr:row>
      <xdr:rowOff>31750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4</xdr:row>
      <xdr:rowOff>81642</xdr:rowOff>
    </xdr:from>
    <xdr:to>
      <xdr:col>13</xdr:col>
      <xdr:colOff>176893</xdr:colOff>
      <xdr:row>19</xdr:row>
      <xdr:rowOff>54428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557893</xdr:colOff>
      <xdr:row>21</xdr:row>
      <xdr:rowOff>81643</xdr:rowOff>
    </xdr:from>
    <xdr:to>
      <xdr:col>12</xdr:col>
      <xdr:colOff>2394857</xdr:colOff>
      <xdr:row>35</xdr:row>
      <xdr:rowOff>136072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17</xdr:row>
      <xdr:rowOff>95250</xdr:rowOff>
    </xdr:from>
    <xdr:to>
      <xdr:col>2</xdr:col>
      <xdr:colOff>1819275</xdr:colOff>
      <xdr:row>31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6</xdr:row>
      <xdr:rowOff>161925</xdr:rowOff>
    </xdr:from>
    <xdr:to>
      <xdr:col>13</xdr:col>
      <xdr:colOff>425824</xdr:colOff>
      <xdr:row>31</xdr:row>
      <xdr:rowOff>114300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b="6360"/>
        <a:stretch>
          <a:fillRect/>
        </a:stretch>
      </xdr:blipFill>
      <xdr:spPr bwMode="auto">
        <a:xfrm>
          <a:off x="38100" y="1304925"/>
          <a:ext cx="8254253" cy="471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wrap="square" rtlCol="0" anchor="t"/>
      <a:lstStyle>
        <a:defPPr algn="ctr"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ome.ubalt.edu/ntsbarsh/Business-stat/otherapplets/pvalues.htm" TargetMode="External"/><Relationship Id="rId6" Type="http://schemas.openxmlformats.org/officeDocument/2006/relationships/oleObject" Target="../embeddings/oleObject2.bin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:K46"/>
  <sheetViews>
    <sheetView topLeftCell="A28" zoomScale="96" zoomScaleNormal="96" workbookViewId="0">
      <selection activeCell="E48" sqref="E48"/>
    </sheetView>
  </sheetViews>
  <sheetFormatPr defaultRowHeight="15"/>
  <cols>
    <col min="3" max="3" width="17" customWidth="1"/>
    <col min="4" max="4" width="14.28515625" customWidth="1"/>
    <col min="5" max="5" width="21" customWidth="1"/>
  </cols>
  <sheetData>
    <row r="20" spans="7:7">
      <c r="G20" s="6"/>
    </row>
    <row r="34" spans="1:11" ht="18.75">
      <c r="F34" s="5" t="s">
        <v>8</v>
      </c>
      <c r="G34" s="5" t="s">
        <v>9</v>
      </c>
      <c r="H34" s="5" t="s">
        <v>10</v>
      </c>
      <c r="I34" s="5" t="s">
        <v>11</v>
      </c>
      <c r="J34" s="5" t="s">
        <v>12</v>
      </c>
      <c r="K34" s="5"/>
    </row>
    <row r="35" spans="1:11" ht="15.75" thickBot="1">
      <c r="E35" s="5">
        <v>1</v>
      </c>
      <c r="F35" s="5">
        <v>-1</v>
      </c>
      <c r="G35" s="5">
        <v>-1</v>
      </c>
      <c r="H35" s="5">
        <v>1</v>
      </c>
      <c r="I35" s="5">
        <v>1</v>
      </c>
      <c r="J35" s="5">
        <v>1</v>
      </c>
    </row>
    <row r="36" spans="1:11">
      <c r="A36" s="22"/>
      <c r="B36" s="23" t="s">
        <v>4</v>
      </c>
      <c r="C36" s="24" t="s">
        <v>0</v>
      </c>
      <c r="E36" s="5">
        <v>1</v>
      </c>
      <c r="F36" s="5">
        <v>1</v>
      </c>
      <c r="G36" s="5">
        <v>-1</v>
      </c>
      <c r="H36" s="5">
        <v>1</v>
      </c>
      <c r="I36" s="5">
        <v>1</v>
      </c>
      <c r="J36" s="5">
        <v>-1</v>
      </c>
    </row>
    <row r="37" spans="1:11">
      <c r="A37" s="25"/>
      <c r="B37" s="2" t="s">
        <v>5</v>
      </c>
      <c r="C37" s="26" t="s">
        <v>65</v>
      </c>
      <c r="E37" s="5">
        <v>1</v>
      </c>
      <c r="F37" s="5">
        <v>-1</v>
      </c>
      <c r="G37" s="5">
        <v>1</v>
      </c>
      <c r="H37" s="5">
        <v>1</v>
      </c>
      <c r="I37" s="5">
        <v>1</v>
      </c>
      <c r="J37" s="5">
        <v>-1</v>
      </c>
    </row>
    <row r="38" spans="1:11">
      <c r="A38" s="27" t="s">
        <v>7</v>
      </c>
      <c r="B38" s="2">
        <v>130</v>
      </c>
      <c r="C38" s="26">
        <v>6</v>
      </c>
      <c r="E38" s="5">
        <v>1</v>
      </c>
      <c r="F38" s="5">
        <v>1</v>
      </c>
      <c r="G38" s="5">
        <v>1</v>
      </c>
      <c r="H38" s="5">
        <v>1</v>
      </c>
      <c r="I38" s="5">
        <v>1</v>
      </c>
      <c r="J38" s="5">
        <v>1</v>
      </c>
    </row>
    <row r="39" spans="1:11">
      <c r="A39" s="28"/>
      <c r="B39" s="2">
        <v>150</v>
      </c>
      <c r="C39" s="26">
        <v>4</v>
      </c>
      <c r="E39" s="5">
        <v>1</v>
      </c>
      <c r="F39" s="7" t="s">
        <v>7</v>
      </c>
      <c r="G39" s="5">
        <v>0</v>
      </c>
      <c r="H39" s="5">
        <v>2</v>
      </c>
      <c r="I39" s="5">
        <v>0</v>
      </c>
      <c r="J39" s="5">
        <v>0</v>
      </c>
    </row>
    <row r="40" spans="1:11">
      <c r="A40" s="28">
        <v>-1</v>
      </c>
      <c r="B40" s="2">
        <v>150</v>
      </c>
      <c r="C40" s="26">
        <v>8</v>
      </c>
      <c r="E40" s="5">
        <v>1</v>
      </c>
      <c r="F40" s="7" t="s">
        <v>6</v>
      </c>
      <c r="G40" s="5">
        <v>0</v>
      </c>
      <c r="H40" s="5">
        <v>2</v>
      </c>
      <c r="I40" s="5">
        <v>0</v>
      </c>
      <c r="J40" s="5">
        <v>0</v>
      </c>
    </row>
    <row r="41" spans="1:11">
      <c r="A41" s="28"/>
      <c r="B41" s="2">
        <v>200</v>
      </c>
      <c r="C41" s="26">
        <v>3.17</v>
      </c>
      <c r="E41" s="5">
        <v>1</v>
      </c>
      <c r="F41" s="5">
        <v>0</v>
      </c>
      <c r="G41" s="7" t="s">
        <v>7</v>
      </c>
      <c r="H41" s="5">
        <v>0</v>
      </c>
      <c r="I41" s="5">
        <v>2</v>
      </c>
      <c r="J41" s="5">
        <v>0</v>
      </c>
    </row>
    <row r="42" spans="1:11">
      <c r="A42" s="28">
        <v>0</v>
      </c>
      <c r="B42" s="2">
        <v>200</v>
      </c>
      <c r="C42" s="26">
        <v>6</v>
      </c>
      <c r="E42" s="5">
        <v>1</v>
      </c>
      <c r="F42" s="5">
        <v>0</v>
      </c>
      <c r="G42" s="7" t="s">
        <v>6</v>
      </c>
      <c r="H42" s="5">
        <v>0</v>
      </c>
      <c r="I42" s="5">
        <v>2</v>
      </c>
      <c r="J42" s="5">
        <v>0</v>
      </c>
    </row>
    <row r="43" spans="1:11">
      <c r="A43" s="28"/>
      <c r="B43" s="2">
        <v>200</v>
      </c>
      <c r="C43" s="26">
        <v>8.23</v>
      </c>
      <c r="E43" s="5">
        <v>1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</row>
    <row r="44" spans="1:11">
      <c r="A44" s="28">
        <v>1</v>
      </c>
      <c r="B44" s="2">
        <v>250</v>
      </c>
      <c r="C44" s="26">
        <v>4</v>
      </c>
      <c r="E44" s="5">
        <v>1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</row>
    <row r="45" spans="1:11">
      <c r="A45" s="28"/>
      <c r="B45" s="2">
        <v>250</v>
      </c>
      <c r="C45" s="26">
        <v>8</v>
      </c>
      <c r="E45" s="5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</row>
    <row r="46" spans="1:11" ht="15.75" thickBot="1">
      <c r="A46" s="29" t="s">
        <v>6</v>
      </c>
      <c r="B46" s="30">
        <v>270</v>
      </c>
      <c r="C46" s="31">
        <v>6</v>
      </c>
      <c r="E46" s="5">
        <v>1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8"/>
  <dimension ref="A1:U223"/>
  <sheetViews>
    <sheetView topLeftCell="A43" zoomScale="90" zoomScaleNormal="90" workbookViewId="0">
      <selection activeCell="B56" sqref="B56:B68"/>
    </sheetView>
  </sheetViews>
  <sheetFormatPr defaultRowHeight="15"/>
  <cols>
    <col min="1" max="1" width="13.5703125" customWidth="1"/>
    <col min="2" max="2" width="14.140625" customWidth="1"/>
    <col min="3" max="3" width="16.28515625" bestFit="1" customWidth="1"/>
    <col min="4" max="4" width="19.85546875" bestFit="1" customWidth="1"/>
    <col min="5" max="5" width="16.42578125" bestFit="1" customWidth="1"/>
    <col min="6" max="6" width="16.42578125" customWidth="1"/>
    <col min="7" max="7" width="14.28515625" bestFit="1" customWidth="1"/>
    <col min="8" max="8" width="13" bestFit="1" customWidth="1"/>
    <col min="9" max="9" width="10.85546875" bestFit="1" customWidth="1"/>
    <col min="10" max="10" width="17.7109375" customWidth="1"/>
    <col min="11" max="11" width="20.7109375" customWidth="1"/>
    <col min="12" max="12" width="21.140625" customWidth="1"/>
    <col min="14" max="14" width="9.85546875" bestFit="1" customWidth="1"/>
    <col min="15" max="15" width="18.140625" bestFit="1" customWidth="1"/>
    <col min="19" max="19" width="13.140625" customWidth="1"/>
  </cols>
  <sheetData>
    <row r="1" spans="1:10">
      <c r="J1" s="83" t="s">
        <v>0</v>
      </c>
    </row>
    <row r="2" spans="1:10">
      <c r="J2" s="36">
        <v>3.17</v>
      </c>
    </row>
    <row r="3" spans="1:10" ht="28.5">
      <c r="B3" s="76" t="s">
        <v>105</v>
      </c>
      <c r="J3" s="36">
        <v>4</v>
      </c>
    </row>
    <row r="4" spans="1:10">
      <c r="B4" s="4"/>
      <c r="C4" s="4"/>
      <c r="J4" s="36">
        <v>5</v>
      </c>
    </row>
    <row r="5" spans="1:10">
      <c r="A5" t="s">
        <v>20</v>
      </c>
      <c r="B5" s="37">
        <v>3.17</v>
      </c>
      <c r="C5" s="37">
        <v>4</v>
      </c>
      <c r="D5" s="37">
        <v>5</v>
      </c>
      <c r="E5" s="37">
        <v>6</v>
      </c>
      <c r="F5" s="37">
        <v>7</v>
      </c>
      <c r="G5" s="37">
        <v>8</v>
      </c>
      <c r="H5" s="35">
        <v>8.8000000000000007</v>
      </c>
      <c r="J5" s="36">
        <v>6</v>
      </c>
    </row>
    <row r="6" spans="1:10">
      <c r="A6" s="37">
        <v>130</v>
      </c>
      <c r="B6" s="36">
        <f t="shared" ref="B6:B20" si="0">-2966.3+10.814*$A6+1237.5*$J$2+0.007*$A6^2-58.25*$J$2^2-2.24*$A6*$J$2</f>
        <v>972.24257499999942</v>
      </c>
      <c r="C6" s="36">
        <f t="shared" ref="C6:C20" si="1">-2966.3+10.814*$A6+1237.5*$J$3+0.007*$A6^2-58.25*$J$3^2-2.24*$A6*$J$3</f>
        <v>1411.0199999999995</v>
      </c>
      <c r="D6" s="36">
        <f t="shared" ref="D6:D20" si="2">-2966.3+10.814*$A6+1237.5*$J$4+0.007*$A6^2-58.25*$J$4^2-2.24*$A6*$J$4</f>
        <v>1833.0699999999995</v>
      </c>
      <c r="E6" s="36">
        <f t="shared" ref="E6:E20" si="3">-2966.3+10.814*$A6+1237.5*$J$5+0.007*$A6^2-58.25*$J$5^2-2.24*$A6*$J$5</f>
        <v>2138.6199999999994</v>
      </c>
      <c r="F6" s="36">
        <f t="shared" ref="F6:F20" si="4">-2966.3+10.814*$A6+1237.5*$J$6+0.007*$A6^2-58.25*$J$6^2-2.24*$A6*$J$6</f>
        <v>2327.6699999999992</v>
      </c>
      <c r="G6" s="36">
        <f t="shared" ref="G6:G20" si="5">-2966.3+10.814*$A6+1237.5*$J$7+0.007*$A6^2-58.25*$J$7^2-2.24*$A6*$J$7</f>
        <v>2400.2199999999993</v>
      </c>
      <c r="H6" s="38">
        <f t="shared" ref="H6:H20" si="6">-2966.3+10.814*$A6+1237.5*$J$8+0.007*$A6^2-58.25*$J$8^2-2.24*$A6*$J$8</f>
        <v>2374.3799999999983</v>
      </c>
      <c r="J6" s="36">
        <v>7</v>
      </c>
    </row>
    <row r="7" spans="1:10">
      <c r="A7" s="37">
        <v>140</v>
      </c>
      <c r="B7" s="36">
        <f t="shared" si="0"/>
        <v>1028.2745749999995</v>
      </c>
      <c r="C7" s="36">
        <f t="shared" si="1"/>
        <v>1448.4599999999996</v>
      </c>
      <c r="D7" s="36">
        <f t="shared" si="2"/>
        <v>1848.1099999999997</v>
      </c>
      <c r="E7" s="36">
        <f t="shared" si="3"/>
        <v>2131.2599999999993</v>
      </c>
      <c r="F7" s="36">
        <f t="shared" si="4"/>
        <v>2297.9099999999994</v>
      </c>
      <c r="G7" s="36">
        <f t="shared" si="5"/>
        <v>2348.0600000000004</v>
      </c>
      <c r="H7" s="38">
        <f t="shared" si="6"/>
        <v>2304.2999999999993</v>
      </c>
      <c r="J7" s="36">
        <v>8</v>
      </c>
    </row>
    <row r="8" spans="1:10">
      <c r="A8" s="37">
        <v>150</v>
      </c>
      <c r="B8" s="36">
        <f t="shared" si="0"/>
        <v>1085.7065749999995</v>
      </c>
      <c r="C8" s="36">
        <f t="shared" si="1"/>
        <v>1487.2999999999995</v>
      </c>
      <c r="D8" s="36">
        <f t="shared" si="2"/>
        <v>1864.549999999999</v>
      </c>
      <c r="E8" s="36">
        <f t="shared" si="3"/>
        <v>2125.2999999999988</v>
      </c>
      <c r="F8" s="36">
        <f t="shared" si="4"/>
        <v>2269.5499999999988</v>
      </c>
      <c r="G8" s="36">
        <f t="shared" si="5"/>
        <v>2297.2999999999988</v>
      </c>
      <c r="H8" s="38">
        <f t="shared" si="6"/>
        <v>2235.6199999999976</v>
      </c>
      <c r="J8" s="36">
        <v>8.8000000000000007</v>
      </c>
    </row>
    <row r="9" spans="1:10">
      <c r="A9" s="37">
        <v>160</v>
      </c>
      <c r="B9" s="36">
        <f t="shared" si="0"/>
        <v>1144.5385749999991</v>
      </c>
      <c r="C9" s="36">
        <f t="shared" si="1"/>
        <v>1527.5399999999993</v>
      </c>
      <c r="D9" s="36">
        <f t="shared" si="2"/>
        <v>1882.3899999999992</v>
      </c>
      <c r="E9" s="36">
        <f t="shared" si="3"/>
        <v>2120.7399999999993</v>
      </c>
      <c r="F9" s="36">
        <f t="shared" si="4"/>
        <v>2242.5899999999992</v>
      </c>
      <c r="G9" s="36">
        <f t="shared" si="5"/>
        <v>2247.940000000001</v>
      </c>
      <c r="H9" s="36">
        <f t="shared" si="6"/>
        <v>2168.3399999999997</v>
      </c>
    </row>
    <row r="10" spans="1:10">
      <c r="A10" s="37">
        <v>170</v>
      </c>
      <c r="B10" s="36">
        <f t="shared" si="0"/>
        <v>1204.770575</v>
      </c>
      <c r="C10" s="36">
        <f t="shared" si="1"/>
        <v>1569.18</v>
      </c>
      <c r="D10" s="36">
        <f t="shared" si="2"/>
        <v>1901.63</v>
      </c>
      <c r="E10" s="36">
        <f t="shared" si="3"/>
        <v>2117.58</v>
      </c>
      <c r="F10" s="36">
        <f t="shared" si="4"/>
        <v>2217.0300000000002</v>
      </c>
      <c r="G10" s="36">
        <f t="shared" si="5"/>
        <v>2199.9799999999991</v>
      </c>
      <c r="H10" s="36">
        <f t="shared" si="6"/>
        <v>2102.4599999999978</v>
      </c>
    </row>
    <row r="11" spans="1:10">
      <c r="A11" s="37">
        <v>180</v>
      </c>
      <c r="B11" s="36">
        <f t="shared" si="0"/>
        <v>1266.4025749999998</v>
      </c>
      <c r="C11" s="36">
        <f t="shared" si="1"/>
        <v>1612.2199999999993</v>
      </c>
      <c r="D11" s="36">
        <f t="shared" si="2"/>
        <v>1922.2699999999993</v>
      </c>
      <c r="E11" s="36">
        <f t="shared" si="3"/>
        <v>2115.8199999999993</v>
      </c>
      <c r="F11" s="36">
        <f t="shared" si="4"/>
        <v>2192.869999999999</v>
      </c>
      <c r="G11" s="36">
        <f t="shared" si="5"/>
        <v>2153.4199999999983</v>
      </c>
      <c r="H11" s="36">
        <f t="shared" si="6"/>
        <v>2037.9799999999968</v>
      </c>
    </row>
    <row r="12" spans="1:10">
      <c r="A12" s="37">
        <v>190</v>
      </c>
      <c r="B12" s="36">
        <f t="shared" si="0"/>
        <v>1329.4345749999993</v>
      </c>
      <c r="C12" s="36">
        <f t="shared" si="1"/>
        <v>1656.6599999999994</v>
      </c>
      <c r="D12" s="36">
        <f t="shared" si="2"/>
        <v>1944.3099999999995</v>
      </c>
      <c r="E12" s="36">
        <f t="shared" si="3"/>
        <v>2115.4599999999991</v>
      </c>
      <c r="F12" s="36">
        <f t="shared" si="4"/>
        <v>2170.1099999999992</v>
      </c>
      <c r="G12" s="36">
        <f t="shared" si="5"/>
        <v>2108.2600000000011</v>
      </c>
      <c r="H12" s="36">
        <f t="shared" si="6"/>
        <v>1974.8999999999996</v>
      </c>
    </row>
    <row r="13" spans="1:10">
      <c r="A13" s="37">
        <v>200</v>
      </c>
      <c r="B13" s="36">
        <f t="shared" si="0"/>
        <v>1393.8665749999998</v>
      </c>
      <c r="C13" s="36">
        <f t="shared" si="1"/>
        <v>1702.4999999999998</v>
      </c>
      <c r="D13" s="36">
        <f t="shared" si="2"/>
        <v>1967.7499999999995</v>
      </c>
      <c r="E13" s="36">
        <f t="shared" si="3"/>
        <v>2116.4999999999995</v>
      </c>
      <c r="F13" s="36">
        <f t="shared" si="4"/>
        <v>2148.7499999999995</v>
      </c>
      <c r="G13" s="36">
        <f t="shared" si="5"/>
        <v>2064.4999999999995</v>
      </c>
      <c r="H13" s="36">
        <f t="shared" si="6"/>
        <v>1913.219999999998</v>
      </c>
    </row>
    <row r="14" spans="1:10">
      <c r="A14" s="37">
        <v>210</v>
      </c>
      <c r="B14" s="36">
        <f t="shared" si="0"/>
        <v>1459.6985749999994</v>
      </c>
      <c r="C14" s="36">
        <f t="shared" si="1"/>
        <v>1749.7399999999991</v>
      </c>
      <c r="D14" s="36">
        <f t="shared" si="2"/>
        <v>1992.5899999999992</v>
      </c>
      <c r="E14" s="36">
        <f t="shared" si="3"/>
        <v>2118.9399999999991</v>
      </c>
      <c r="F14" s="36">
        <f t="shared" si="4"/>
        <v>2128.79</v>
      </c>
      <c r="G14" s="36">
        <f t="shared" si="5"/>
        <v>2022.1399999999999</v>
      </c>
      <c r="H14" s="36">
        <f t="shared" si="6"/>
        <v>1852.9399999999987</v>
      </c>
    </row>
    <row r="15" spans="1:10">
      <c r="A15" s="37">
        <v>220</v>
      </c>
      <c r="B15" s="36">
        <f t="shared" si="0"/>
        <v>1526.9305749999996</v>
      </c>
      <c r="C15" s="36">
        <f t="shared" si="1"/>
        <v>1798.3799999999997</v>
      </c>
      <c r="D15" s="36">
        <f t="shared" si="2"/>
        <v>2018.8299999999995</v>
      </c>
      <c r="E15" s="36">
        <f t="shared" si="3"/>
        <v>2122.7799999999997</v>
      </c>
      <c r="F15" s="36">
        <f t="shared" si="4"/>
        <v>2110.2299999999996</v>
      </c>
      <c r="G15" s="36">
        <f t="shared" si="5"/>
        <v>1981.1799999999976</v>
      </c>
      <c r="H15" s="36">
        <f t="shared" si="6"/>
        <v>1794.0599999999959</v>
      </c>
    </row>
    <row r="16" spans="1:10">
      <c r="A16" s="37">
        <v>230</v>
      </c>
      <c r="B16" s="36">
        <f t="shared" si="0"/>
        <v>1595.5625749999995</v>
      </c>
      <c r="C16" s="36">
        <f t="shared" si="1"/>
        <v>1848.42</v>
      </c>
      <c r="D16" s="36">
        <f t="shared" si="2"/>
        <v>2046.4700000000003</v>
      </c>
      <c r="E16" s="36">
        <f t="shared" si="3"/>
        <v>2128.02</v>
      </c>
      <c r="F16" s="36">
        <f t="shared" si="4"/>
        <v>2093.0699999999988</v>
      </c>
      <c r="G16" s="36">
        <f t="shared" si="5"/>
        <v>1941.619999999999</v>
      </c>
      <c r="H16" s="36">
        <f t="shared" si="6"/>
        <v>1736.5799999999972</v>
      </c>
    </row>
    <row r="17" spans="1:8">
      <c r="A17" s="37">
        <v>240</v>
      </c>
      <c r="B17" s="36">
        <f t="shared" si="0"/>
        <v>1665.5945749999996</v>
      </c>
      <c r="C17" s="36">
        <f t="shared" si="1"/>
        <v>1899.8599999999992</v>
      </c>
      <c r="D17" s="36">
        <f t="shared" si="2"/>
        <v>2075.5099999999993</v>
      </c>
      <c r="E17" s="36">
        <f t="shared" si="3"/>
        <v>2134.6599999999989</v>
      </c>
      <c r="F17" s="36">
        <f t="shared" si="4"/>
        <v>2077.31</v>
      </c>
      <c r="G17" s="36">
        <f t="shared" si="5"/>
        <v>1903.46</v>
      </c>
      <c r="H17" s="36">
        <f t="shared" si="6"/>
        <v>1680.4999999999982</v>
      </c>
    </row>
    <row r="18" spans="1:8">
      <c r="A18" s="37">
        <v>250</v>
      </c>
      <c r="B18" s="36">
        <f t="shared" si="0"/>
        <v>1737.0265749999996</v>
      </c>
      <c r="C18" s="36">
        <f t="shared" si="1"/>
        <v>1952.6999999999998</v>
      </c>
      <c r="D18" s="36">
        <f t="shared" si="2"/>
        <v>2105.9499999999998</v>
      </c>
      <c r="E18" s="36">
        <f t="shared" si="3"/>
        <v>2142.6999999999998</v>
      </c>
      <c r="F18" s="36">
        <f t="shared" si="4"/>
        <v>2062.9500000000007</v>
      </c>
      <c r="G18" s="36">
        <f t="shared" si="5"/>
        <v>1866.7000000000007</v>
      </c>
      <c r="H18" s="36">
        <f t="shared" si="6"/>
        <v>1625.8199999999997</v>
      </c>
    </row>
    <row r="19" spans="1:8">
      <c r="A19" s="37">
        <v>260</v>
      </c>
      <c r="B19" s="36">
        <f t="shared" si="0"/>
        <v>1809.8585749999995</v>
      </c>
      <c r="C19" s="36">
        <f t="shared" si="1"/>
        <v>2006.9399999999996</v>
      </c>
      <c r="D19" s="36">
        <f t="shared" si="2"/>
        <v>2137.7899999999995</v>
      </c>
      <c r="E19" s="36">
        <f t="shared" si="3"/>
        <v>2152.1399999999994</v>
      </c>
      <c r="F19" s="36">
        <f t="shared" si="4"/>
        <v>2049.9900000000002</v>
      </c>
      <c r="G19" s="36">
        <f t="shared" si="5"/>
        <v>1831.3400000000001</v>
      </c>
      <c r="H19" s="36">
        <f t="shared" si="6"/>
        <v>1572.5399999999991</v>
      </c>
    </row>
    <row r="20" spans="1:8">
      <c r="A20" s="37">
        <v>270</v>
      </c>
      <c r="B20" s="36">
        <f t="shared" si="0"/>
        <v>1884.0905749999995</v>
      </c>
      <c r="C20" s="36">
        <f t="shared" si="1"/>
        <v>2062.5799999999995</v>
      </c>
      <c r="D20" s="36">
        <f t="shared" si="2"/>
        <v>2171.0299999999993</v>
      </c>
      <c r="E20" s="36">
        <f t="shared" si="3"/>
        <v>2162.9799999999996</v>
      </c>
      <c r="F20" s="36">
        <f t="shared" si="4"/>
        <v>2038.4299999999985</v>
      </c>
      <c r="G20" s="36">
        <f t="shared" si="5"/>
        <v>1797.3799999999983</v>
      </c>
      <c r="H20" s="36">
        <f t="shared" si="6"/>
        <v>1520.6599999999971</v>
      </c>
    </row>
    <row r="23" spans="1:8">
      <c r="A23" s="18" t="s">
        <v>104</v>
      </c>
      <c r="B23" s="37">
        <v>132</v>
      </c>
      <c r="C23" s="37">
        <v>150</v>
      </c>
      <c r="D23" s="37">
        <v>180</v>
      </c>
      <c r="E23" s="37">
        <v>200</v>
      </c>
      <c r="F23" s="37">
        <v>230</v>
      </c>
      <c r="G23" s="37">
        <v>250</v>
      </c>
      <c r="H23" s="37">
        <v>270</v>
      </c>
    </row>
    <row r="24" spans="1:8">
      <c r="A24" s="18">
        <v>3.2</v>
      </c>
      <c r="B24" s="2">
        <f t="shared" ref="B24:B29" si="7">-2966.3+10.814*$B$23+1237.5*$J2+0.007*$B$23^2-58.25*$J2^2-2.24*$B$23*$J2</f>
        <v>983.33697499999982</v>
      </c>
      <c r="C24" s="2">
        <f t="shared" ref="C24:C29" si="8">-2966.3+10.814*$C$23+1237.5*$J2+0.007*$C$23^2-58.25*$J2^2-2.24*$C$23*$J2</f>
        <v>1085.7065749999995</v>
      </c>
      <c r="D24" s="2">
        <f t="shared" ref="D24:D29" si="9">-2966.3+10.814*$D$23+1237.5*$J2+0.007*$D$23^2-58.25*$J2^2-2.24*$D$23*$J2</f>
        <v>1266.4025749999998</v>
      </c>
      <c r="E24" s="2">
        <f t="shared" ref="E24:E29" si="10">-2966.3+10.814*$E$23+1237.5*$J2+0.007*$E$23^2-58.25*$J2^2-2.24*$E$23*$J2</f>
        <v>1393.8665749999998</v>
      </c>
      <c r="F24" s="2">
        <f t="shared" ref="F24:F29" si="11">-2966.3+10.814*$F$23+1237.5*$J2+0.007*$F$23^2-58.25*$J2^2-2.24*$F$23*$J2</f>
        <v>1595.5625749999995</v>
      </c>
      <c r="G24" s="2">
        <f t="shared" ref="G24:G29" si="12">-2966.3+10.814*$G$23+1237.5*$J2+0.007*$G$23^2-58.25*$J2^2-2.24*$G$23*$J2</f>
        <v>1737.0265749999996</v>
      </c>
      <c r="H24" s="2">
        <f t="shared" ref="H24:H29" si="13">-2966.3+10.814*$H$23+1237.5*$J2+0.007*$H$23^2-58.25*$J2^2-2.24*$H$23*$J2</f>
        <v>1884.0905749999995</v>
      </c>
    </row>
    <row r="25" spans="1:8">
      <c r="A25" s="18">
        <v>4</v>
      </c>
      <c r="B25" s="2">
        <f t="shared" si="7"/>
        <v>1418.396</v>
      </c>
      <c r="C25" s="2">
        <f t="shared" si="8"/>
        <v>1487.2999999999995</v>
      </c>
      <c r="D25" s="2">
        <f t="shared" si="9"/>
        <v>1612.2199999999993</v>
      </c>
      <c r="E25" s="2">
        <f t="shared" si="10"/>
        <v>1702.4999999999998</v>
      </c>
      <c r="F25" s="2">
        <f t="shared" si="11"/>
        <v>1848.42</v>
      </c>
      <c r="G25" s="2">
        <f t="shared" si="12"/>
        <v>1952.6999999999998</v>
      </c>
      <c r="H25" s="2">
        <f t="shared" si="13"/>
        <v>2062.5799999999995</v>
      </c>
    </row>
    <row r="26" spans="1:8">
      <c r="A26" s="18">
        <v>5</v>
      </c>
      <c r="B26" s="2">
        <f t="shared" si="7"/>
        <v>1835.9659999999999</v>
      </c>
      <c r="C26" s="2">
        <f t="shared" si="8"/>
        <v>1864.549999999999</v>
      </c>
      <c r="D26" s="2">
        <f t="shared" si="9"/>
        <v>1922.2699999999993</v>
      </c>
      <c r="E26" s="2">
        <f t="shared" si="10"/>
        <v>1967.7499999999995</v>
      </c>
      <c r="F26" s="2">
        <f t="shared" si="11"/>
        <v>2046.4700000000003</v>
      </c>
      <c r="G26" s="2">
        <f t="shared" si="12"/>
        <v>2105.9499999999998</v>
      </c>
      <c r="H26" s="2">
        <f t="shared" si="13"/>
        <v>2171.0299999999993</v>
      </c>
    </row>
    <row r="27" spans="1:8">
      <c r="A27" s="18">
        <v>6</v>
      </c>
      <c r="B27" s="2">
        <f t="shared" si="7"/>
        <v>2137.0360000000001</v>
      </c>
      <c r="C27" s="2">
        <f t="shared" si="8"/>
        <v>2125.2999999999988</v>
      </c>
      <c r="D27" s="2">
        <f t="shared" si="9"/>
        <v>2115.8199999999993</v>
      </c>
      <c r="E27" s="2">
        <f t="shared" si="10"/>
        <v>2116.4999999999995</v>
      </c>
      <c r="F27" s="2">
        <f t="shared" si="11"/>
        <v>2128.02</v>
      </c>
      <c r="G27" s="2">
        <f t="shared" si="12"/>
        <v>2142.6999999999998</v>
      </c>
      <c r="H27" s="2">
        <f t="shared" si="13"/>
        <v>2162.9799999999996</v>
      </c>
    </row>
    <row r="28" spans="1:8">
      <c r="A28" s="18">
        <v>7</v>
      </c>
      <c r="B28" s="2">
        <f t="shared" si="7"/>
        <v>2321.6059999999998</v>
      </c>
      <c r="C28" s="2">
        <f t="shared" si="8"/>
        <v>2269.5499999999988</v>
      </c>
      <c r="D28" s="2">
        <f t="shared" si="9"/>
        <v>2192.869999999999</v>
      </c>
      <c r="E28" s="2">
        <f t="shared" si="10"/>
        <v>2148.7499999999995</v>
      </c>
      <c r="F28" s="2">
        <f t="shared" si="11"/>
        <v>2093.0699999999988</v>
      </c>
      <c r="G28" s="2">
        <f t="shared" si="12"/>
        <v>2062.9500000000007</v>
      </c>
      <c r="H28" s="2">
        <f t="shared" si="13"/>
        <v>2038.4299999999985</v>
      </c>
    </row>
    <row r="29" spans="1:8">
      <c r="A29" s="18">
        <v>8.23</v>
      </c>
      <c r="B29" s="2">
        <f t="shared" si="7"/>
        <v>2389.6759999999999</v>
      </c>
      <c r="C29" s="2">
        <f t="shared" si="8"/>
        <v>2297.2999999999988</v>
      </c>
      <c r="D29" s="2">
        <f t="shared" si="9"/>
        <v>2153.4199999999983</v>
      </c>
      <c r="E29" s="2">
        <f t="shared" si="10"/>
        <v>2064.4999999999995</v>
      </c>
      <c r="F29" s="2">
        <f t="shared" si="11"/>
        <v>1941.619999999999</v>
      </c>
      <c r="G29" s="2">
        <f t="shared" si="12"/>
        <v>1866.7000000000007</v>
      </c>
      <c r="H29" s="2">
        <f t="shared" si="13"/>
        <v>1797.3799999999983</v>
      </c>
    </row>
    <row r="31" spans="1:8">
      <c r="A31">
        <f>B24+200</f>
        <v>1183.3369749999997</v>
      </c>
      <c r="B31" t="s">
        <v>52</v>
      </c>
    </row>
    <row r="32" spans="1:8">
      <c r="A32">
        <f t="shared" ref="A32:A36" si="14">B25+200</f>
        <v>1618.396</v>
      </c>
    </row>
    <row r="33" spans="1:10">
      <c r="A33">
        <f t="shared" si="14"/>
        <v>2035.9659999999999</v>
      </c>
      <c r="B33" s="32">
        <v>1500</v>
      </c>
      <c r="C33">
        <v>-1</v>
      </c>
      <c r="D33">
        <v>-1</v>
      </c>
      <c r="E33">
        <f>1984.2+0.0084*C33</f>
        <v>1984.1916000000001</v>
      </c>
      <c r="F33">
        <f>(E33-H36)^2</f>
        <v>282549.12336224999</v>
      </c>
      <c r="J33">
        <f>(2116.7-H36)^2</f>
        <v>440978.20703160961</v>
      </c>
    </row>
    <row r="34" spans="1:10">
      <c r="A34">
        <f t="shared" si="14"/>
        <v>2337.0360000000001</v>
      </c>
      <c r="B34" s="32">
        <v>1917.129126635856</v>
      </c>
      <c r="C34">
        <v>1</v>
      </c>
      <c r="D34">
        <v>-1</v>
      </c>
      <c r="E34">
        <f t="shared" ref="E34:E45" si="15">1984.2+0.0084*C34</f>
        <v>1984.2084</v>
      </c>
      <c r="F34">
        <f t="shared" ref="F34:F45" si="16">(E34-H37)^2</f>
        <v>4380.8381064099867</v>
      </c>
      <c r="J34">
        <f t="shared" ref="J34:J45" si="17">(2116.7-H37)^2</f>
        <v>39473.543720249894</v>
      </c>
    </row>
    <row r="35" spans="1:10">
      <c r="A35">
        <f t="shared" si="14"/>
        <v>2521.6059999999998</v>
      </c>
      <c r="B35" s="32">
        <v>2304.4202483179306</v>
      </c>
      <c r="C35">
        <v>-1</v>
      </c>
      <c r="D35">
        <v>1</v>
      </c>
      <c r="E35">
        <f t="shared" si="15"/>
        <v>1984.1916000000001</v>
      </c>
      <c r="F35">
        <f t="shared" si="16"/>
        <v>77777.679882250042</v>
      </c>
      <c r="G35" s="64" t="s">
        <v>25</v>
      </c>
      <c r="H35" s="89" t="s">
        <v>26</v>
      </c>
      <c r="I35" t="s">
        <v>108</v>
      </c>
      <c r="J35">
        <f t="shared" si="17"/>
        <v>21426.548159610105</v>
      </c>
    </row>
    <row r="36" spans="1:10">
      <c r="A36">
        <f t="shared" si="14"/>
        <v>2589.6759999999999</v>
      </c>
      <c r="B36" s="32">
        <v>1824.618129499921</v>
      </c>
      <c r="C36">
        <v>1</v>
      </c>
      <c r="D36">
        <v>1</v>
      </c>
      <c r="E36">
        <f t="shared" si="15"/>
        <v>1984.2084</v>
      </c>
      <c r="F36">
        <f t="shared" si="16"/>
        <v>23311.151864009818</v>
      </c>
      <c r="G36" s="61">
        <v>1500</v>
      </c>
      <c r="H36" s="36">
        <f>2116.78+(8.4582*C33)+(180.987*D33)-(17.4957*C33^2)-(232.968*D33^2)-(224.233*C33*D33)</f>
        <v>1452.6381000000001</v>
      </c>
      <c r="I36">
        <f>ABS((G36-H36)/G36)*100</f>
        <v>3.1574599999999919</v>
      </c>
      <c r="J36">
        <f t="shared" si="17"/>
        <v>81322.784412249574</v>
      </c>
    </row>
    <row r="37" spans="1:10">
      <c r="B37" s="32">
        <v>2120.4461459350291</v>
      </c>
      <c r="C37">
        <v>-1.4139999999999999</v>
      </c>
      <c r="D37">
        <v>0</v>
      </c>
      <c r="E37">
        <f t="shared" si="15"/>
        <v>1984.1881224000001</v>
      </c>
      <c r="F37">
        <f t="shared" si="16"/>
        <v>7336.1195310626763</v>
      </c>
      <c r="G37" s="61">
        <v>1917.129126635856</v>
      </c>
      <c r="H37" s="36">
        <f t="shared" ref="H37:H48" si="18">2116.78+(8.4582*C34)+(180.987*D34)-(17.4957*C34^2)-(232.968*D34^2)-(224.233*C34*D34)</f>
        <v>1918.0205000000001</v>
      </c>
      <c r="I37">
        <f t="shared" ref="I37:I48" si="19">ABS((G37-H37)/G37)*100</f>
        <v>4.6495217862985966E-2</v>
      </c>
      <c r="J37">
        <f t="shared" si="17"/>
        <v>2195.927772194625</v>
      </c>
    </row>
    <row r="38" spans="1:10">
      <c r="B38" s="32">
        <v>2212.6094215795551</v>
      </c>
      <c r="C38">
        <v>1.4139999999999999</v>
      </c>
      <c r="D38">
        <v>0</v>
      </c>
      <c r="E38">
        <f t="shared" si="15"/>
        <v>1984.2118776</v>
      </c>
      <c r="F38">
        <f t="shared" si="16"/>
        <v>12000.585654399973</v>
      </c>
      <c r="G38" s="61">
        <v>2304.4202483179306</v>
      </c>
      <c r="H38" s="36">
        <f t="shared" si="18"/>
        <v>2263.0781000000002</v>
      </c>
      <c r="I38">
        <f t="shared" si="19"/>
        <v>1.7940368449768385</v>
      </c>
      <c r="J38">
        <f t="shared" si="17"/>
        <v>526.28662701498558</v>
      </c>
    </row>
    <row r="39" spans="1:10">
      <c r="B39" s="32">
        <v>1405.3912783400374</v>
      </c>
      <c r="C39">
        <v>0</v>
      </c>
      <c r="D39">
        <v>-1.4139999999999999</v>
      </c>
      <c r="E39">
        <f t="shared" si="15"/>
        <v>1984.2</v>
      </c>
      <c r="F39">
        <f t="shared" si="16"/>
        <v>347075.22361258854</v>
      </c>
      <c r="G39" s="61">
        <v>1824.618129499921</v>
      </c>
      <c r="H39" s="36">
        <f t="shared" si="18"/>
        <v>1831.5285000000006</v>
      </c>
      <c r="I39">
        <f t="shared" si="19"/>
        <v>0.37872968531632029</v>
      </c>
      <c r="J39">
        <f t="shared" si="17"/>
        <v>520751.16352450813</v>
      </c>
    </row>
    <row r="40" spans="1:10">
      <c r="B40" s="32">
        <v>1925.8112001779009</v>
      </c>
      <c r="C40">
        <v>0</v>
      </c>
      <c r="D40">
        <v>1.4139999999999999</v>
      </c>
      <c r="E40">
        <f t="shared" si="15"/>
        <v>1984.2</v>
      </c>
      <c r="F40">
        <f t="shared" si="16"/>
        <v>5975.2388782180988</v>
      </c>
      <c r="G40" s="61">
        <v>2120.4461459350291</v>
      </c>
      <c r="H40" s="36">
        <f t="shared" si="18"/>
        <v>2069.8392726028005</v>
      </c>
      <c r="I40">
        <f t="shared" si="19"/>
        <v>2.3866144126906392</v>
      </c>
      <c r="J40">
        <f t="shared" si="17"/>
        <v>44015.901250137926</v>
      </c>
    </row>
    <row r="41" spans="1:10">
      <c r="B41" s="32">
        <v>1721.3761538399992</v>
      </c>
      <c r="C41">
        <v>0</v>
      </c>
      <c r="D41">
        <v>0</v>
      </c>
      <c r="E41">
        <f t="shared" si="15"/>
        <v>1984.2</v>
      </c>
      <c r="F41">
        <f t="shared" si="16"/>
        <v>17577.456400000043</v>
      </c>
      <c r="G41" s="61">
        <v>2212.6094215795551</v>
      </c>
      <c r="H41" s="36">
        <f t="shared" si="18"/>
        <v>2093.7590622028001</v>
      </c>
      <c r="I41">
        <f t="shared" si="19"/>
        <v>5.3715020020076203</v>
      </c>
      <c r="J41">
        <f t="shared" si="17"/>
        <v>6.4000000000611181E-3</v>
      </c>
    </row>
    <row r="42" spans="1:10">
      <c r="B42" s="32">
        <v>2498.6526579094889</v>
      </c>
      <c r="C42">
        <v>0</v>
      </c>
      <c r="D42">
        <v>0</v>
      </c>
      <c r="E42">
        <f t="shared" si="15"/>
        <v>1984.2</v>
      </c>
      <c r="F42">
        <f t="shared" si="16"/>
        <v>17577.456400000043</v>
      </c>
      <c r="G42" s="61">
        <v>1405.3912783400374</v>
      </c>
      <c r="H42" s="36">
        <f t="shared" si="18"/>
        <v>1395.0690946720003</v>
      </c>
      <c r="I42">
        <f t="shared" si="19"/>
        <v>0.73447045154776935</v>
      </c>
      <c r="J42">
        <f t="shared" si="17"/>
        <v>6.4000000000611181E-3</v>
      </c>
    </row>
    <row r="43" spans="1:10">
      <c r="B43" s="32">
        <v>1948.2795191901405</v>
      </c>
      <c r="C43">
        <v>0</v>
      </c>
      <c r="D43">
        <v>0</v>
      </c>
      <c r="E43">
        <f t="shared" si="15"/>
        <v>1984.2</v>
      </c>
      <c r="F43">
        <f t="shared" si="16"/>
        <v>17577.456400000043</v>
      </c>
      <c r="G43" s="61">
        <v>1925.8112001779009</v>
      </c>
      <c r="H43" s="36">
        <f t="shared" si="18"/>
        <v>1906.9003306720003</v>
      </c>
      <c r="I43">
        <f t="shared" si="19"/>
        <v>0.9819690270860213</v>
      </c>
      <c r="J43">
        <f t="shared" si="17"/>
        <v>6.4000000000611181E-3</v>
      </c>
    </row>
    <row r="44" spans="1:10">
      <c r="B44" s="32">
        <v>2240.8768366859049</v>
      </c>
      <c r="C44">
        <v>0</v>
      </c>
      <c r="D44">
        <v>0</v>
      </c>
      <c r="E44">
        <f t="shared" si="15"/>
        <v>1984.2</v>
      </c>
      <c r="F44">
        <f t="shared" si="16"/>
        <v>17577.456400000043</v>
      </c>
      <c r="G44" s="61">
        <v>1721.3761538399992</v>
      </c>
      <c r="H44" s="36">
        <f t="shared" si="18"/>
        <v>2116.7800000000002</v>
      </c>
      <c r="I44">
        <f t="shared" si="19"/>
        <v>22.970217478495027</v>
      </c>
      <c r="J44">
        <f t="shared" si="17"/>
        <v>6.4000000000611181E-3</v>
      </c>
    </row>
    <row r="45" spans="1:10">
      <c r="B45" s="32">
        <v>2174.6905185569967</v>
      </c>
      <c r="C45">
        <v>0</v>
      </c>
      <c r="D45">
        <v>0</v>
      </c>
      <c r="E45">
        <f t="shared" si="15"/>
        <v>1984.2</v>
      </c>
      <c r="F45">
        <f t="shared" si="16"/>
        <v>17577.456400000043</v>
      </c>
      <c r="G45" s="61">
        <v>2498.6526579094889</v>
      </c>
      <c r="H45" s="36">
        <f t="shared" si="18"/>
        <v>2116.7800000000002</v>
      </c>
      <c r="I45">
        <f t="shared" si="19"/>
        <v>15.283142965096417</v>
      </c>
      <c r="J45">
        <f t="shared" si="17"/>
        <v>6.4000000000611181E-3</v>
      </c>
    </row>
    <row r="46" spans="1:10">
      <c r="F46">
        <f>SUM(F33:F45)</f>
        <v>848293.24289118929</v>
      </c>
      <c r="G46" s="61">
        <v>1948.2795191901405</v>
      </c>
      <c r="H46" s="36">
        <f t="shared" si="18"/>
        <v>2116.7800000000002</v>
      </c>
      <c r="I46">
        <f t="shared" si="19"/>
        <v>8.6486810106129877</v>
      </c>
      <c r="J46">
        <f>SUM(J33:J45)</f>
        <v>1150690.3944975752</v>
      </c>
    </row>
    <row r="47" spans="1:10">
      <c r="G47" s="61">
        <v>2240.8768366859049</v>
      </c>
      <c r="H47" s="36">
        <f t="shared" si="18"/>
        <v>2116.7800000000002</v>
      </c>
      <c r="I47">
        <f t="shared" si="19"/>
        <v>5.5378695809732656</v>
      </c>
    </row>
    <row r="48" spans="1:10">
      <c r="G48" s="61">
        <v>2174.6905185569967</v>
      </c>
      <c r="H48" s="36">
        <f t="shared" si="18"/>
        <v>2116.7800000000002</v>
      </c>
      <c r="I48">
        <f t="shared" si="19"/>
        <v>2.6629314867028855</v>
      </c>
    </row>
    <row r="49" spans="2:19">
      <c r="H49" t="s">
        <v>107</v>
      </c>
      <c r="I49">
        <f>AVERAGE(I36:I48)</f>
        <v>5.3810861664129828</v>
      </c>
    </row>
    <row r="50" spans="2:19">
      <c r="M50">
        <f>AVERAGE(B64:B68)</f>
        <v>2116.7751372365065</v>
      </c>
    </row>
    <row r="51" spans="2:19">
      <c r="H51" t="s">
        <v>29</v>
      </c>
    </row>
    <row r="52" spans="2:19" ht="15.75" thickBot="1"/>
    <row r="53" spans="2:19" ht="21.75" thickBot="1">
      <c r="C53" s="41"/>
      <c r="D53" s="85"/>
      <c r="E53" s="102" t="s">
        <v>98</v>
      </c>
      <c r="F53" s="103"/>
      <c r="G53" s="104"/>
      <c r="H53" s="105" t="s">
        <v>27</v>
      </c>
      <c r="I53" s="106"/>
      <c r="J53" s="106"/>
      <c r="K53" s="106"/>
      <c r="L53" s="106"/>
      <c r="M53" s="106"/>
      <c r="N53" s="107"/>
      <c r="O53" s="108" t="s">
        <v>97</v>
      </c>
      <c r="P53" s="108"/>
      <c r="Q53" s="109"/>
      <c r="R53" s="100" t="s">
        <v>96</v>
      </c>
      <c r="S53" s="101"/>
    </row>
    <row r="54" spans="2:19">
      <c r="B54" s="34" t="s">
        <v>64</v>
      </c>
      <c r="C54" s="64"/>
      <c r="D54" s="65"/>
      <c r="E54" s="86"/>
      <c r="F54" s="58"/>
      <c r="G54" s="87" t="s">
        <v>37</v>
      </c>
      <c r="H54" s="86" t="s">
        <v>26</v>
      </c>
      <c r="I54" s="58" t="s">
        <v>38</v>
      </c>
      <c r="J54" s="58" t="s">
        <v>43</v>
      </c>
      <c r="K54" s="58" t="s">
        <v>44</v>
      </c>
      <c r="L54" s="58" t="s">
        <v>42</v>
      </c>
      <c r="M54" s="58"/>
      <c r="N54" s="88" t="s">
        <v>76</v>
      </c>
      <c r="O54" s="86"/>
      <c r="P54" s="58"/>
      <c r="Q54" s="87"/>
      <c r="R54" s="86"/>
      <c r="S54" s="87"/>
    </row>
    <row r="55" spans="2:19">
      <c r="B55" s="84" t="s">
        <v>63</v>
      </c>
      <c r="C55" s="64" t="s">
        <v>39</v>
      </c>
      <c r="D55" s="65" t="s">
        <v>40</v>
      </c>
      <c r="E55" s="64" t="s">
        <v>25</v>
      </c>
      <c r="F55" s="37" t="s">
        <v>26</v>
      </c>
      <c r="G55" s="65" t="s">
        <v>24</v>
      </c>
      <c r="H55" s="64"/>
      <c r="I55" s="37"/>
      <c r="J55" s="37"/>
      <c r="K55" s="37"/>
      <c r="L55" s="37"/>
      <c r="M55" s="37" t="s">
        <v>28</v>
      </c>
      <c r="N55" s="65"/>
      <c r="O55" s="64" t="s">
        <v>25</v>
      </c>
      <c r="P55" s="37" t="s">
        <v>26</v>
      </c>
      <c r="Q55" s="65"/>
      <c r="R55" s="64"/>
      <c r="S55" s="65">
        <f>G69-Q69</f>
        <v>6277.8186459966237</v>
      </c>
    </row>
    <row r="56" spans="2:19">
      <c r="B56" s="95">
        <v>1500</v>
      </c>
      <c r="C56" s="61">
        <v>4</v>
      </c>
      <c r="D56" s="45">
        <v>150</v>
      </c>
      <c r="E56" s="61">
        <v>1500</v>
      </c>
      <c r="F56" s="36">
        <v>1487.3</v>
      </c>
      <c r="G56" s="45">
        <f>(E56-F56)^2</f>
        <v>161.29000000000116</v>
      </c>
      <c r="H56" s="61">
        <v>1487.3</v>
      </c>
      <c r="I56" s="36">
        <f t="shared" ref="I56:I68" si="20">-2966.3+10.814*D56+1237.5*C56</f>
        <v>3605.7999999999997</v>
      </c>
      <c r="J56" s="36">
        <f>(I56-M56)^2</f>
        <v>2629661.0950847673</v>
      </c>
      <c r="K56" s="36">
        <f t="shared" ref="K56:K68" si="21">-2966.3+0.007*D56^2-58.25*C56^2-2.24*D56*C56</f>
        <v>-5084.8</v>
      </c>
      <c r="L56" s="36">
        <f>(K56-M56)^2</f>
        <v>49970436.083914548</v>
      </c>
      <c r="M56" s="36">
        <f>AVERAGE(E56:E68)</f>
        <v>1984.1770182052894</v>
      </c>
      <c r="N56" s="45">
        <f>-2966.3+10.814*D56+1237.5*C56+0.007*D56^2-58.25*C56^2-2.24*D56*C56</f>
        <v>1487.2999999999995</v>
      </c>
      <c r="O56" s="61">
        <v>1721.3761538399992</v>
      </c>
      <c r="P56" s="36">
        <v>2116.4999999999995</v>
      </c>
      <c r="Q56" s="45">
        <f>(O56-P56)^2</f>
        <v>156122.85380427158</v>
      </c>
      <c r="R56" s="61"/>
      <c r="S56" s="45"/>
    </row>
    <row r="57" spans="2:19">
      <c r="B57" s="95">
        <v>1917.129126635856</v>
      </c>
      <c r="C57" s="61">
        <v>4</v>
      </c>
      <c r="D57" s="45">
        <v>250</v>
      </c>
      <c r="E57" s="61">
        <v>1917.129126635856</v>
      </c>
      <c r="F57" s="36">
        <v>1952.7</v>
      </c>
      <c r="G57" s="45">
        <f t="shared" ref="G57:G68" si="22">(E57-F57)^2</f>
        <v>1265.2870318879736</v>
      </c>
      <c r="H57" s="61">
        <v>1952.7</v>
      </c>
      <c r="I57" s="36">
        <f t="shared" si="20"/>
        <v>4687.2</v>
      </c>
      <c r="J57" s="36">
        <f t="shared" ref="J57:J68" si="23">(I57-M57)^2</f>
        <v>7306333.2401103657</v>
      </c>
      <c r="K57" s="36">
        <f t="shared" si="21"/>
        <v>-5700.8</v>
      </c>
      <c r="L57" s="36">
        <f t="shared" ref="L57:L68" si="24">(K57-M57)^2</f>
        <v>59058871.770343468</v>
      </c>
      <c r="M57" s="36">
        <v>1984.1770182052894</v>
      </c>
      <c r="N57" s="45">
        <f t="shared" ref="N57:N68" si="25">-2966.3+10.814*D57+1237.5*C57+0.007*D57^2-58.25*C57^2-2.24*D57*C57</f>
        <v>1952.6999999999998</v>
      </c>
      <c r="O57" s="61">
        <v>2498.6526579094889</v>
      </c>
      <c r="P57" s="36">
        <v>2116.4999999999995</v>
      </c>
      <c r="Q57" s="45">
        <f t="shared" ref="Q57:Q60" si="26">(O57-P57)^2</f>
        <v>146040.65394728718</v>
      </c>
      <c r="R57" s="61"/>
      <c r="S57" s="45"/>
    </row>
    <row r="58" spans="2:19">
      <c r="B58" s="95">
        <v>2304.4202483179306</v>
      </c>
      <c r="C58" s="61">
        <v>8</v>
      </c>
      <c r="D58" s="45">
        <v>150</v>
      </c>
      <c r="E58" s="61">
        <v>2304.4202483179306</v>
      </c>
      <c r="F58" s="36">
        <v>2297.2999999999988</v>
      </c>
      <c r="G58" s="45">
        <f t="shared" si="22"/>
        <v>50.697936109010378</v>
      </c>
      <c r="H58" s="61">
        <v>2297.2999999999988</v>
      </c>
      <c r="I58" s="36">
        <f t="shared" si="20"/>
        <v>8555.7999999999993</v>
      </c>
      <c r="J58" s="36">
        <f t="shared" si="23"/>
        <v>43186228.614852391</v>
      </c>
      <c r="K58" s="36">
        <f t="shared" si="21"/>
        <v>-9224.8000000000011</v>
      </c>
      <c r="L58" s="36">
        <f t="shared" si="24"/>
        <v>125641165.79465437</v>
      </c>
      <c r="M58" s="36">
        <v>1984.1770182052894</v>
      </c>
      <c r="N58" s="45">
        <f t="shared" si="25"/>
        <v>2297.2999999999988</v>
      </c>
      <c r="O58" s="61">
        <v>1948.2795191901405</v>
      </c>
      <c r="P58" s="36">
        <v>2116.4999999999995</v>
      </c>
      <c r="Q58" s="45">
        <f t="shared" si="26"/>
        <v>28298.130163900158</v>
      </c>
      <c r="R58" s="61"/>
      <c r="S58" s="45"/>
    </row>
    <row r="59" spans="2:19">
      <c r="B59" s="95">
        <v>1824.618129499921</v>
      </c>
      <c r="C59" s="61">
        <v>8</v>
      </c>
      <c r="D59" s="45">
        <v>250</v>
      </c>
      <c r="E59" s="61">
        <v>1824.618129499921</v>
      </c>
      <c r="F59" s="36">
        <v>1866.7000000000007</v>
      </c>
      <c r="G59" s="45">
        <f t="shared" si="22"/>
        <v>1770.8838247854808</v>
      </c>
      <c r="H59" s="61">
        <v>1866.7000000000007</v>
      </c>
      <c r="I59" s="36">
        <f t="shared" si="20"/>
        <v>9637.2000000000007</v>
      </c>
      <c r="J59" s="36">
        <f t="shared" si="23"/>
        <v>58568760.75987801</v>
      </c>
      <c r="K59" s="36">
        <f t="shared" si="21"/>
        <v>-10736.8</v>
      </c>
      <c r="L59" s="36">
        <f t="shared" si="24"/>
        <v>161823256.29770711</v>
      </c>
      <c r="M59" s="36">
        <v>1984.1770182052901</v>
      </c>
      <c r="N59" s="45">
        <f t="shared" si="25"/>
        <v>1866.7000000000007</v>
      </c>
      <c r="O59" s="61">
        <v>2240.8768366859049</v>
      </c>
      <c r="P59" s="36">
        <v>2116.4999999999995</v>
      </c>
      <c r="Q59" s="45">
        <f t="shared" si="26"/>
        <v>15469.597503992371</v>
      </c>
      <c r="R59" s="61"/>
      <c r="S59" s="45"/>
    </row>
    <row r="60" spans="2:19">
      <c r="B60" s="95">
        <v>2120.4461459350291</v>
      </c>
      <c r="C60" s="61">
        <v>6</v>
      </c>
      <c r="D60" s="45">
        <v>130</v>
      </c>
      <c r="E60" s="61">
        <v>2120.4461459350291</v>
      </c>
      <c r="F60" s="36">
        <v>2137.0360000000001</v>
      </c>
      <c r="G60" s="45">
        <f t="shared" si="22"/>
        <v>275.22325789703314</v>
      </c>
      <c r="H60" s="61">
        <v>2137.0360000000001</v>
      </c>
      <c r="I60" s="36">
        <f t="shared" si="20"/>
        <v>5864.5199999999995</v>
      </c>
      <c r="J60" s="36">
        <f t="shared" si="23"/>
        <v>15057061.656363457</v>
      </c>
      <c r="K60" s="36">
        <f t="shared" si="21"/>
        <v>-6692.2000000000007</v>
      </c>
      <c r="L60" s="36">
        <f t="shared" si="24"/>
        <v>75279518.162040919</v>
      </c>
      <c r="M60" s="36">
        <v>1984.1770182052901</v>
      </c>
      <c r="N60" s="45">
        <f t="shared" si="25"/>
        <v>2138.6199999999994</v>
      </c>
      <c r="O60" s="61">
        <v>2174.6905185569967</v>
      </c>
      <c r="P60" s="36">
        <v>2116.4999999999995</v>
      </c>
      <c r="Q60" s="45">
        <f t="shared" si="26"/>
        <v>3386.1364499322326</v>
      </c>
      <c r="R60" s="61"/>
      <c r="S60" s="45"/>
    </row>
    <row r="61" spans="2:19">
      <c r="B61" s="95">
        <v>2212.6094215795551</v>
      </c>
      <c r="C61" s="61">
        <v>6</v>
      </c>
      <c r="D61" s="45">
        <v>270</v>
      </c>
      <c r="E61" s="61">
        <v>2212.6094215795551</v>
      </c>
      <c r="F61" s="36">
        <v>2162.9799999999996</v>
      </c>
      <c r="G61" s="45">
        <f t="shared" si="22"/>
        <v>2463.0794863212573</v>
      </c>
      <c r="H61" s="61">
        <v>2162.9799999999996</v>
      </c>
      <c r="I61" s="36">
        <f t="shared" si="20"/>
        <v>7378.48</v>
      </c>
      <c r="J61" s="36">
        <f t="shared" si="23"/>
        <v>29098504.659399297</v>
      </c>
      <c r="K61" s="36">
        <f t="shared" si="21"/>
        <v>-8181.8</v>
      </c>
      <c r="L61" s="36">
        <f t="shared" si="24"/>
        <v>103347088.73467813</v>
      </c>
      <c r="M61" s="36">
        <v>1984.1770182052901</v>
      </c>
      <c r="N61" s="45">
        <f t="shared" si="25"/>
        <v>2162.9799999999996</v>
      </c>
      <c r="O61" s="61"/>
      <c r="P61" s="36"/>
      <c r="Q61" s="45">
        <f>SUM(Q56:Q60)</f>
        <v>349317.37186938355</v>
      </c>
      <c r="R61" s="61"/>
      <c r="S61" s="45"/>
    </row>
    <row r="62" spans="2:19">
      <c r="B62" s="95">
        <v>1405.3912783400374</v>
      </c>
      <c r="C62" s="61">
        <v>3.17</v>
      </c>
      <c r="D62" s="45">
        <v>200</v>
      </c>
      <c r="E62" s="61">
        <v>1405.3912783400374</v>
      </c>
      <c r="F62" s="36">
        <v>1393.8665749999998</v>
      </c>
      <c r="G62" s="45">
        <f t="shared" si="22"/>
        <v>132.8187870758739</v>
      </c>
      <c r="H62" s="61">
        <v>1393.8665749999998</v>
      </c>
      <c r="I62" s="36">
        <f t="shared" si="20"/>
        <v>3119.375</v>
      </c>
      <c r="J62" s="36">
        <f t="shared" si="23"/>
        <v>1288674.4578707826</v>
      </c>
      <c r="K62" s="36">
        <f t="shared" si="21"/>
        <v>-4691.8084250000002</v>
      </c>
      <c r="L62" s="36">
        <f t="shared" si="24"/>
        <v>44568781.637888946</v>
      </c>
      <c r="M62" s="36">
        <v>1984.1770182052901</v>
      </c>
      <c r="N62" s="45">
        <f t="shared" si="25"/>
        <v>1393.8665749999998</v>
      </c>
      <c r="O62" s="61"/>
      <c r="P62" s="36"/>
      <c r="Q62" s="45"/>
      <c r="R62" s="61"/>
      <c r="S62" s="45"/>
    </row>
    <row r="63" spans="2:19">
      <c r="B63" s="95">
        <v>1925.8112001779009</v>
      </c>
      <c r="C63" s="61">
        <v>8.8800000000000008</v>
      </c>
      <c r="D63" s="45">
        <v>200</v>
      </c>
      <c r="E63" s="61">
        <v>1925.8112001779009</v>
      </c>
      <c r="F63" s="36">
        <v>1913.219999999998</v>
      </c>
      <c r="G63" s="45">
        <f t="shared" si="22"/>
        <v>158.53832192002253</v>
      </c>
      <c r="H63" s="61">
        <v>1913.219999999998</v>
      </c>
      <c r="I63" s="36">
        <f t="shared" si="20"/>
        <v>10185.500000000002</v>
      </c>
      <c r="J63" s="36">
        <f t="shared" si="23"/>
        <v>67261698.651714101</v>
      </c>
      <c r="K63" s="36">
        <f t="shared" si="21"/>
        <v>-11257.808800000003</v>
      </c>
      <c r="L63" s="36">
        <f t="shared" si="24"/>
        <v>175350188.40955007</v>
      </c>
      <c r="M63" s="36">
        <v>1984.1770182052901</v>
      </c>
      <c r="N63" s="45">
        <f t="shared" si="25"/>
        <v>1893.9912000000004</v>
      </c>
      <c r="O63" s="61"/>
      <c r="P63" s="36"/>
      <c r="Q63" s="45"/>
      <c r="R63" s="61"/>
      <c r="S63" s="45"/>
    </row>
    <row r="64" spans="2:19">
      <c r="B64" s="95">
        <v>1721.3761538399992</v>
      </c>
      <c r="C64" s="61">
        <v>6</v>
      </c>
      <c r="D64" s="45">
        <v>200</v>
      </c>
      <c r="E64" s="61">
        <v>1721.3761538399992</v>
      </c>
      <c r="F64" s="36">
        <v>2116.4999999999995</v>
      </c>
      <c r="G64" s="45">
        <f t="shared" si="22"/>
        <v>156122.85380427158</v>
      </c>
      <c r="H64" s="61">
        <v>2116.4999999999995</v>
      </c>
      <c r="I64" s="36">
        <f t="shared" si="20"/>
        <v>6621.5</v>
      </c>
      <c r="J64" s="36">
        <f t="shared" si="23"/>
        <v>21504764.437481385</v>
      </c>
      <c r="K64" s="36">
        <f t="shared" si="21"/>
        <v>-7471.3000000000011</v>
      </c>
      <c r="L64" s="36">
        <f t="shared" si="24"/>
        <v>89406045.64180842</v>
      </c>
      <c r="M64" s="36">
        <v>1984.1770182052901</v>
      </c>
      <c r="N64" s="45">
        <f t="shared" si="25"/>
        <v>2116.4999999999995</v>
      </c>
      <c r="O64" s="61"/>
      <c r="P64" s="36"/>
      <c r="Q64" s="45"/>
      <c r="R64" s="61"/>
      <c r="S64" s="45"/>
    </row>
    <row r="65" spans="2:21">
      <c r="B65" s="95">
        <v>2498.6526579094889</v>
      </c>
      <c r="C65" s="61">
        <v>6</v>
      </c>
      <c r="D65" s="45">
        <v>200</v>
      </c>
      <c r="E65" s="61">
        <v>2498.6526579094889</v>
      </c>
      <c r="F65" s="36">
        <v>2116.4999999999995</v>
      </c>
      <c r="G65" s="45">
        <f t="shared" si="22"/>
        <v>146040.65394728718</v>
      </c>
      <c r="H65" s="61">
        <v>2116.4999999999995</v>
      </c>
      <c r="I65" s="36">
        <f t="shared" si="20"/>
        <v>6621.5</v>
      </c>
      <c r="J65" s="36">
        <f t="shared" si="23"/>
        <v>21504764.437481385</v>
      </c>
      <c r="K65" s="36">
        <f t="shared" si="21"/>
        <v>-7471.3000000000011</v>
      </c>
      <c r="L65" s="36">
        <f t="shared" si="24"/>
        <v>89406045.64180842</v>
      </c>
      <c r="M65" s="36">
        <v>1984.1770182052901</v>
      </c>
      <c r="N65" s="45">
        <f t="shared" si="25"/>
        <v>2116.4999999999995</v>
      </c>
      <c r="O65" s="61"/>
      <c r="P65" s="36"/>
      <c r="Q65" s="45"/>
      <c r="R65" s="61"/>
      <c r="S65" s="45"/>
    </row>
    <row r="66" spans="2:21">
      <c r="B66" s="95">
        <v>1948.2795191901405</v>
      </c>
      <c r="C66" s="61">
        <v>6</v>
      </c>
      <c r="D66" s="45">
        <v>200</v>
      </c>
      <c r="E66" s="61">
        <v>1948.2795191901405</v>
      </c>
      <c r="F66" s="36">
        <v>2116.4999999999995</v>
      </c>
      <c r="G66" s="45">
        <f t="shared" si="22"/>
        <v>28298.130163900158</v>
      </c>
      <c r="H66" s="61">
        <v>2116.4999999999995</v>
      </c>
      <c r="I66" s="36">
        <f t="shared" si="20"/>
        <v>6621.5</v>
      </c>
      <c r="J66" s="36">
        <f t="shared" si="23"/>
        <v>21504764.437481385</v>
      </c>
      <c r="K66" s="36">
        <f t="shared" si="21"/>
        <v>-7471.3000000000011</v>
      </c>
      <c r="L66" s="36">
        <f t="shared" si="24"/>
        <v>89406045.64180842</v>
      </c>
      <c r="M66" s="36">
        <v>1984.1770182052901</v>
      </c>
      <c r="N66" s="45">
        <f t="shared" si="25"/>
        <v>2116.4999999999995</v>
      </c>
      <c r="O66" s="61"/>
      <c r="P66" s="36"/>
      <c r="Q66" s="45"/>
      <c r="R66" s="61"/>
      <c r="S66" s="45"/>
    </row>
    <row r="67" spans="2:21">
      <c r="B67" s="95">
        <v>2240.8768366859049</v>
      </c>
      <c r="C67" s="61">
        <v>6</v>
      </c>
      <c r="D67" s="45">
        <v>200</v>
      </c>
      <c r="E67" s="61">
        <v>2240.8768366859049</v>
      </c>
      <c r="F67" s="36">
        <v>2116.4999999999995</v>
      </c>
      <c r="G67" s="45">
        <f t="shared" si="22"/>
        <v>15469.597503992371</v>
      </c>
      <c r="H67" s="61">
        <v>2116.4999999999995</v>
      </c>
      <c r="I67" s="36">
        <f t="shared" si="20"/>
        <v>6621.5</v>
      </c>
      <c r="J67" s="36">
        <f t="shared" si="23"/>
        <v>21504764.437481385</v>
      </c>
      <c r="K67" s="36">
        <f t="shared" si="21"/>
        <v>-7471.3000000000011</v>
      </c>
      <c r="L67" s="36">
        <f t="shared" si="24"/>
        <v>89406045.64180842</v>
      </c>
      <c r="M67" s="36">
        <v>1984.1770182052901</v>
      </c>
      <c r="N67" s="45">
        <f t="shared" si="25"/>
        <v>2116.4999999999995</v>
      </c>
      <c r="O67" s="61"/>
      <c r="P67" s="36"/>
      <c r="Q67" s="45"/>
      <c r="R67" s="61"/>
      <c r="S67" s="45"/>
    </row>
    <row r="68" spans="2:21">
      <c r="B68" s="95">
        <v>2174.6905185569967</v>
      </c>
      <c r="C68" s="61">
        <v>6</v>
      </c>
      <c r="D68" s="45">
        <v>200</v>
      </c>
      <c r="E68" s="61">
        <v>2174.6905185569967</v>
      </c>
      <c r="F68" s="36">
        <v>2116.4999999999995</v>
      </c>
      <c r="G68" s="45">
        <f t="shared" si="22"/>
        <v>3386.1364499322326</v>
      </c>
      <c r="H68" s="61">
        <v>2116.4999999999995</v>
      </c>
      <c r="I68" s="36">
        <f t="shared" si="20"/>
        <v>6621.5</v>
      </c>
      <c r="J68" s="36">
        <f t="shared" si="23"/>
        <v>21504764.437481385</v>
      </c>
      <c r="K68" s="36">
        <f t="shared" si="21"/>
        <v>-7471.3000000000011</v>
      </c>
      <c r="L68" s="36">
        <f t="shared" si="24"/>
        <v>89406045.64180842</v>
      </c>
      <c r="M68" s="36">
        <v>1984.1770182052901</v>
      </c>
      <c r="N68" s="45">
        <f t="shared" si="25"/>
        <v>2116.4999999999995</v>
      </c>
      <c r="O68" s="61"/>
      <c r="P68" s="36"/>
      <c r="Q68" s="45"/>
      <c r="R68" s="61"/>
      <c r="S68" s="45"/>
    </row>
    <row r="69" spans="2:21" ht="15.75" thickBot="1">
      <c r="C69" s="62"/>
      <c r="D69" s="48"/>
      <c r="E69" s="62"/>
      <c r="F69" s="72" t="s">
        <v>41</v>
      </c>
      <c r="G69" s="73">
        <f>SUM(G56:G68)</f>
        <v>355595.19051538018</v>
      </c>
      <c r="H69" s="74"/>
      <c r="I69" s="72" t="s">
        <v>41</v>
      </c>
      <c r="J69" s="72">
        <f>SUM(J56:J68)</f>
        <v>331920745.32268012</v>
      </c>
      <c r="K69" s="72" t="s">
        <v>45</v>
      </c>
      <c r="L69" s="72">
        <f>SUM(L56:L68)</f>
        <v>1242069535.0998197</v>
      </c>
      <c r="M69" s="72">
        <f>(H56-M56)^2</f>
        <v>246886.77122057954</v>
      </c>
      <c r="N69" s="73"/>
      <c r="O69" s="74"/>
      <c r="P69" s="72" t="s">
        <v>45</v>
      </c>
      <c r="Q69" s="73">
        <f>Q61</f>
        <v>349317.37186938355</v>
      </c>
      <c r="R69" s="74" t="s">
        <v>45</v>
      </c>
      <c r="S69" s="73">
        <f>S55</f>
        <v>6277.8186459966237</v>
      </c>
    </row>
    <row r="71" spans="2:21">
      <c r="I71" t="s">
        <v>74</v>
      </c>
      <c r="N71" t="s">
        <v>78</v>
      </c>
    </row>
    <row r="72" spans="2:21" ht="15.75" thickBot="1">
      <c r="C72" s="96" t="s">
        <v>30</v>
      </c>
      <c r="D72" s="97"/>
      <c r="E72" s="37" t="s">
        <v>31</v>
      </c>
      <c r="F72" s="37" t="s">
        <v>32</v>
      </c>
      <c r="G72" s="37" t="s">
        <v>33</v>
      </c>
      <c r="H72" s="37" t="s">
        <v>81</v>
      </c>
      <c r="I72" s="56" t="s">
        <v>77</v>
      </c>
      <c r="J72" s="90" t="s">
        <v>34</v>
      </c>
    </row>
    <row r="73" spans="2:21" ht="15.75" thickBot="1">
      <c r="C73" s="98" t="s">
        <v>35</v>
      </c>
      <c r="D73" s="99"/>
      <c r="E73" s="36">
        <f>SUM(E74:E75)</f>
        <v>1573990280.4224997</v>
      </c>
      <c r="F73" s="36">
        <v>5</v>
      </c>
      <c r="G73" s="36">
        <f>E73/F73</f>
        <v>314798056.08449996</v>
      </c>
      <c r="H73" s="36">
        <f>G73/G77</f>
        <v>6196.895940571475</v>
      </c>
      <c r="I73" s="5">
        <v>3.97</v>
      </c>
      <c r="J73" s="36" t="s">
        <v>79</v>
      </c>
      <c r="N73" s="19" t="s">
        <v>60</v>
      </c>
      <c r="O73" s="20"/>
    </row>
    <row r="74" spans="2:21">
      <c r="C74" s="18" t="s">
        <v>27</v>
      </c>
      <c r="D74" s="36" t="s">
        <v>36</v>
      </c>
      <c r="E74" s="36">
        <f>L69</f>
        <v>1242069535.0998197</v>
      </c>
      <c r="F74" s="36">
        <v>2</v>
      </c>
      <c r="G74" s="36">
        <f>E74/F74</f>
        <v>621034767.54990983</v>
      </c>
      <c r="H74" s="36"/>
      <c r="I74" s="36"/>
      <c r="J74" s="36"/>
    </row>
    <row r="75" spans="2:21">
      <c r="C75" s="18"/>
      <c r="D75" s="36" t="s">
        <v>46</v>
      </c>
      <c r="E75" s="36">
        <f>J69</f>
        <v>331920745.32268012</v>
      </c>
      <c r="F75" s="36">
        <v>3</v>
      </c>
      <c r="G75" s="36">
        <f>E75/F75</f>
        <v>110640248.44089337</v>
      </c>
      <c r="H75" s="36"/>
      <c r="I75" s="36"/>
      <c r="J75" s="36"/>
      <c r="N75" t="s">
        <v>61</v>
      </c>
    </row>
    <row r="76" spans="2:21">
      <c r="C76" s="18"/>
      <c r="D76" s="36"/>
      <c r="E76" s="36"/>
      <c r="F76" s="36"/>
      <c r="G76" s="36"/>
      <c r="H76" s="36"/>
      <c r="I76" s="36"/>
      <c r="J76" s="36"/>
      <c r="N76" t="s">
        <v>62</v>
      </c>
    </row>
    <row r="77" spans="2:21">
      <c r="C77" s="98" t="s">
        <v>47</v>
      </c>
      <c r="D77" s="99"/>
      <c r="E77" s="36">
        <f>E78+E79</f>
        <v>355595.19051538018</v>
      </c>
      <c r="F77" s="36">
        <v>7</v>
      </c>
      <c r="G77" s="36">
        <f>E77/F77</f>
        <v>50799.312930768596</v>
      </c>
      <c r="H77" s="36"/>
      <c r="I77" s="36"/>
      <c r="J77" s="36"/>
    </row>
    <row r="78" spans="2:21">
      <c r="C78" s="18"/>
      <c r="D78" s="36" t="s">
        <v>48</v>
      </c>
      <c r="E78" s="36">
        <f>S55</f>
        <v>6277.8186459966237</v>
      </c>
      <c r="F78" s="36">
        <v>3</v>
      </c>
      <c r="G78" s="36">
        <f t="shared" ref="G78:G79" si="27">E78/F78</f>
        <v>2092.6062153322077</v>
      </c>
      <c r="H78" s="36">
        <f>G78/G79</f>
        <v>2.3962234733801595E-2</v>
      </c>
      <c r="I78" s="5">
        <v>6.59</v>
      </c>
      <c r="J78" s="36">
        <v>0.99419999999999997</v>
      </c>
    </row>
    <row r="79" spans="2:21">
      <c r="C79" s="18"/>
      <c r="D79" s="36" t="s">
        <v>49</v>
      </c>
      <c r="E79" s="36">
        <f>Q61</f>
        <v>349317.37186938355</v>
      </c>
      <c r="F79" s="36">
        <v>4</v>
      </c>
      <c r="G79" s="36">
        <f t="shared" si="27"/>
        <v>87329.342967345889</v>
      </c>
      <c r="H79" s="36"/>
      <c r="I79" s="36"/>
      <c r="J79" s="36"/>
    </row>
    <row r="80" spans="2:21">
      <c r="C80" s="18"/>
      <c r="D80" s="2"/>
      <c r="E80" s="36"/>
      <c r="F80" s="36"/>
      <c r="G80" s="36"/>
      <c r="H80" s="36"/>
      <c r="I80" s="36"/>
      <c r="J80" s="36"/>
      <c r="O80" t="s">
        <v>127</v>
      </c>
      <c r="P80" t="s">
        <v>113</v>
      </c>
      <c r="Q80" t="s">
        <v>123</v>
      </c>
      <c r="R80" t="s">
        <v>124</v>
      </c>
      <c r="S80" t="s">
        <v>125</v>
      </c>
      <c r="T80" t="s">
        <v>114</v>
      </c>
      <c r="U80" t="s">
        <v>111</v>
      </c>
    </row>
    <row r="81" spans="3:21">
      <c r="C81" s="18" t="s">
        <v>19</v>
      </c>
      <c r="D81" s="2"/>
      <c r="E81" s="36">
        <f>E73+E77</f>
        <v>1574345875.6130149</v>
      </c>
      <c r="F81" s="36">
        <v>12</v>
      </c>
      <c r="G81" s="36"/>
      <c r="H81" s="36"/>
      <c r="I81" s="36"/>
      <c r="J81" s="36"/>
      <c r="O81" t="s">
        <v>35</v>
      </c>
      <c r="P81">
        <v>5</v>
      </c>
      <c r="Q81">
        <v>858138</v>
      </c>
      <c r="R81">
        <v>858138</v>
      </c>
      <c r="S81">
        <v>171628</v>
      </c>
      <c r="T81">
        <v>3.38</v>
      </c>
      <c r="U81">
        <v>7.1999999999999995E-2</v>
      </c>
    </row>
    <row r="82" spans="3:21">
      <c r="O82" t="s">
        <v>128</v>
      </c>
      <c r="P82">
        <v>2</v>
      </c>
      <c r="Q82">
        <v>262667</v>
      </c>
      <c r="R82">
        <v>637099</v>
      </c>
      <c r="S82">
        <v>318549</v>
      </c>
      <c r="T82">
        <v>6.28</v>
      </c>
      <c r="U82">
        <v>2.7E-2</v>
      </c>
    </row>
    <row r="83" spans="3:21">
      <c r="C83" s="57" t="s">
        <v>93</v>
      </c>
      <c r="D83">
        <f>E73/E81</f>
        <v>0.99977413146880645</v>
      </c>
      <c r="G83" t="s">
        <v>50</v>
      </c>
      <c r="O83" t="s">
        <v>129</v>
      </c>
      <c r="P83">
        <v>2</v>
      </c>
      <c r="Q83">
        <v>394350</v>
      </c>
      <c r="R83">
        <v>394350</v>
      </c>
      <c r="S83">
        <v>197175</v>
      </c>
      <c r="T83">
        <v>3.89</v>
      </c>
      <c r="U83">
        <v>7.2999999999999995E-2</v>
      </c>
    </row>
    <row r="84" spans="3:21">
      <c r="O84" t="s">
        <v>130</v>
      </c>
      <c r="P84">
        <v>1</v>
      </c>
      <c r="Q84">
        <v>201121</v>
      </c>
      <c r="R84">
        <v>201121</v>
      </c>
      <c r="S84">
        <v>201121</v>
      </c>
      <c r="T84">
        <v>3.96</v>
      </c>
      <c r="U84">
        <v>8.6999999999999994E-2</v>
      </c>
    </row>
    <row r="85" spans="3:21">
      <c r="G85" s="91" t="s">
        <v>51</v>
      </c>
      <c r="O85" t="s">
        <v>131</v>
      </c>
      <c r="P85">
        <v>7</v>
      </c>
      <c r="Q85">
        <v>355177</v>
      </c>
      <c r="R85">
        <v>355177</v>
      </c>
      <c r="S85">
        <v>50740</v>
      </c>
    </row>
    <row r="86" spans="3:21">
      <c r="O86" t="s">
        <v>132</v>
      </c>
      <c r="P86">
        <v>3</v>
      </c>
      <c r="Q86">
        <v>5864</v>
      </c>
      <c r="R86">
        <v>5864</v>
      </c>
      <c r="S86">
        <v>1955</v>
      </c>
      <c r="T86">
        <v>0.02</v>
      </c>
      <c r="U86">
        <v>0.995</v>
      </c>
    </row>
    <row r="87" spans="3:21">
      <c r="C87" s="1" t="s">
        <v>66</v>
      </c>
      <c r="F87" t="s">
        <v>68</v>
      </c>
      <c r="O87" t="s">
        <v>133</v>
      </c>
      <c r="P87">
        <v>4</v>
      </c>
      <c r="Q87">
        <v>349312</v>
      </c>
      <c r="R87">
        <v>349312</v>
      </c>
      <c r="S87">
        <v>87328</v>
      </c>
    </row>
    <row r="88" spans="3:21">
      <c r="C88" t="s">
        <v>67</v>
      </c>
      <c r="D88">
        <f>AVERAGE(SUM((SUM(J56:J68))+(SUM(L56:L68))))</f>
        <v>1573990280.4224997</v>
      </c>
      <c r="F88">
        <f t="shared" ref="F88:F100" si="28">SUM(J56+L56)</f>
        <v>52600097.178999312</v>
      </c>
      <c r="O88" t="s">
        <v>19</v>
      </c>
      <c r="P88">
        <v>12</v>
      </c>
      <c r="Q88">
        <v>1213315</v>
      </c>
    </row>
    <row r="89" spans="3:21">
      <c r="F89">
        <f t="shared" si="28"/>
        <v>66365205.010453835</v>
      </c>
    </row>
    <row r="90" spans="3:21">
      <c r="C90" t="s">
        <v>69</v>
      </c>
      <c r="D90">
        <f t="shared" ref="D90:D102" si="29">((F88-$D$88)^2)/12</f>
        <v>1.9288567413914096E+17</v>
      </c>
      <c r="F90">
        <f t="shared" si="28"/>
        <v>168827394.40950677</v>
      </c>
    </row>
    <row r="91" spans="3:21">
      <c r="D91">
        <f t="shared" si="29"/>
        <v>1.8941111400093136E+17</v>
      </c>
      <c r="F91">
        <f t="shared" si="28"/>
        <v>220392017.05758512</v>
      </c>
    </row>
    <row r="92" spans="3:21">
      <c r="D92">
        <f t="shared" si="29"/>
        <v>1.6454022801903027E+17</v>
      </c>
      <c r="F92">
        <f t="shared" si="28"/>
        <v>90336579.818404377</v>
      </c>
    </row>
    <row r="93" spans="3:21">
      <c r="D93">
        <f t="shared" si="29"/>
        <v>1.5268568821537603E+17</v>
      </c>
      <c r="F93">
        <f t="shared" si="28"/>
        <v>132445593.39407744</v>
      </c>
    </row>
    <row r="94" spans="3:21">
      <c r="D94">
        <f t="shared" si="29"/>
        <v>1.8343569194301885E+17</v>
      </c>
      <c r="F94">
        <f t="shared" si="28"/>
        <v>45857456.095759727</v>
      </c>
    </row>
    <row r="95" spans="3:21">
      <c r="D95">
        <f t="shared" si="29"/>
        <v>1.7317092372498928E+17</v>
      </c>
      <c r="F95">
        <f t="shared" si="28"/>
        <v>242611887.06126416</v>
      </c>
    </row>
    <row r="96" spans="3:21">
      <c r="D96">
        <f t="shared" si="29"/>
        <v>1.9459916073206826E+17</v>
      </c>
      <c r="F96">
        <f t="shared" si="28"/>
        <v>110910810.07928981</v>
      </c>
    </row>
    <row r="97" spans="2:6">
      <c r="D97">
        <f t="shared" si="29"/>
        <v>1.4771403552576208E+17</v>
      </c>
      <c r="F97">
        <f t="shared" si="28"/>
        <v>110910810.07928981</v>
      </c>
    </row>
    <row r="98" spans="2:6">
      <c r="D98">
        <f t="shared" si="29"/>
        <v>1.7838346137831392E+17</v>
      </c>
      <c r="F98">
        <f t="shared" si="28"/>
        <v>110910810.07928981</v>
      </c>
    </row>
    <row r="99" spans="2:6">
      <c r="D99">
        <f t="shared" si="29"/>
        <v>1.7838346137831392E+17</v>
      </c>
      <c r="F99">
        <f t="shared" si="28"/>
        <v>110910810.07928981</v>
      </c>
    </row>
    <row r="100" spans="2:6">
      <c r="D100">
        <f t="shared" si="29"/>
        <v>1.7838346137831392E+17</v>
      </c>
      <c r="F100">
        <f t="shared" si="28"/>
        <v>110910810.07928981</v>
      </c>
    </row>
    <row r="101" spans="2:6">
      <c r="D101">
        <f t="shared" si="29"/>
        <v>1.7838346137831392E+17</v>
      </c>
    </row>
    <row r="102" spans="2:6">
      <c r="D102">
        <f t="shared" si="29"/>
        <v>1.7838346137831392E+17</v>
      </c>
    </row>
    <row r="103" spans="2:6">
      <c r="B103" t="s">
        <v>70</v>
      </c>
      <c r="C103" t="s">
        <v>41</v>
      </c>
      <c r="D103">
        <f>SQRT(SUM(D90:D102))</f>
        <v>1513393479.3013637</v>
      </c>
    </row>
    <row r="104" spans="2:6">
      <c r="B104" t="s">
        <v>71</v>
      </c>
      <c r="D104" s="1">
        <f>$D$88/(D103/(SQRT(12)))</f>
        <v>3.6028054482828606</v>
      </c>
    </row>
    <row r="105" spans="2:6">
      <c r="D105" t="s">
        <v>72</v>
      </c>
    </row>
    <row r="106" spans="2:6">
      <c r="D106" t="s">
        <v>73</v>
      </c>
    </row>
    <row r="110" spans="2:6">
      <c r="C110" s="1" t="s">
        <v>47</v>
      </c>
      <c r="F110" t="s">
        <v>68</v>
      </c>
    </row>
    <row r="111" spans="2:6">
      <c r="C111" t="s">
        <v>67</v>
      </c>
      <c r="D111">
        <f>AVERAGE(E77)</f>
        <v>355595.19051538018</v>
      </c>
      <c r="F111" t="e">
        <f>SUM(#REF!+L79)</f>
        <v>#REF!</v>
      </c>
    </row>
    <row r="112" spans="2:6">
      <c r="F112" t="e">
        <f>SUM(#REF!+L80)</f>
        <v>#REF!</v>
      </c>
    </row>
    <row r="113" spans="2:6">
      <c r="C113" t="s">
        <v>69</v>
      </c>
      <c r="D113" t="e">
        <f t="shared" ref="D113:D125" si="30">((F111-$D$88)^2)/12</f>
        <v>#REF!</v>
      </c>
      <c r="F113" t="e">
        <f>SUM(#REF!+L81)</f>
        <v>#REF!</v>
      </c>
    </row>
    <row r="114" spans="2:6">
      <c r="D114" t="e">
        <f t="shared" si="30"/>
        <v>#REF!</v>
      </c>
      <c r="F114">
        <f>SUM(J82+L82)</f>
        <v>0</v>
      </c>
    </row>
    <row r="115" spans="2:6">
      <c r="D115" t="e">
        <f t="shared" si="30"/>
        <v>#REF!</v>
      </c>
      <c r="F115" t="e">
        <f>SUM(#REF!+#REF!)</f>
        <v>#REF!</v>
      </c>
    </row>
    <row r="116" spans="2:6">
      <c r="D116">
        <f t="shared" si="30"/>
        <v>2.064537835720416E+17</v>
      </c>
      <c r="F116">
        <f t="shared" ref="F116:F123" si="31">SUM(I83+K83)</f>
        <v>0</v>
      </c>
    </row>
    <row r="117" spans="2:6">
      <c r="D117" t="e">
        <f t="shared" si="30"/>
        <v>#REF!</v>
      </c>
      <c r="F117">
        <f t="shared" si="31"/>
        <v>0</v>
      </c>
    </row>
    <row r="118" spans="2:6">
      <c r="D118">
        <f t="shared" si="30"/>
        <v>2.064537835720416E+17</v>
      </c>
      <c r="F118">
        <f t="shared" si="31"/>
        <v>0</v>
      </c>
    </row>
    <row r="119" spans="2:6">
      <c r="D119">
        <f t="shared" si="30"/>
        <v>2.064537835720416E+17</v>
      </c>
      <c r="F119">
        <f t="shared" si="31"/>
        <v>0</v>
      </c>
    </row>
    <row r="120" spans="2:6">
      <c r="D120">
        <f t="shared" si="30"/>
        <v>2.064537835720416E+17</v>
      </c>
      <c r="F120">
        <f t="shared" si="31"/>
        <v>0</v>
      </c>
    </row>
    <row r="121" spans="2:6">
      <c r="D121">
        <f t="shared" si="30"/>
        <v>2.064537835720416E+17</v>
      </c>
      <c r="F121">
        <f t="shared" si="31"/>
        <v>0</v>
      </c>
    </row>
    <row r="122" spans="2:6">
      <c r="D122">
        <f t="shared" si="30"/>
        <v>2.064537835720416E+17</v>
      </c>
      <c r="F122">
        <f t="shared" si="31"/>
        <v>0</v>
      </c>
    </row>
    <row r="123" spans="2:6">
      <c r="D123">
        <f t="shared" si="30"/>
        <v>2.064537835720416E+17</v>
      </c>
      <c r="F123">
        <f t="shared" si="31"/>
        <v>0</v>
      </c>
    </row>
    <row r="124" spans="2:6">
      <c r="D124">
        <f t="shared" si="30"/>
        <v>2.064537835720416E+17</v>
      </c>
    </row>
    <row r="125" spans="2:6">
      <c r="D125">
        <f t="shared" si="30"/>
        <v>2.064537835720416E+17</v>
      </c>
    </row>
    <row r="126" spans="2:6">
      <c r="B126" t="s">
        <v>70</v>
      </c>
      <c r="C126" t="s">
        <v>41</v>
      </c>
      <c r="D126" t="e">
        <f>SQRT(SUM(D113:D125))</f>
        <v>#REF!</v>
      </c>
    </row>
    <row r="127" spans="2:6">
      <c r="B127" t="s">
        <v>71</v>
      </c>
      <c r="D127" s="1" t="e">
        <f>$D$88/(D126/(SQRT(12)))</f>
        <v>#REF!</v>
      </c>
    </row>
    <row r="128" spans="2:6">
      <c r="D128" t="s">
        <v>72</v>
      </c>
    </row>
    <row r="129" spans="4:13">
      <c r="D129" t="s">
        <v>73</v>
      </c>
    </row>
    <row r="133" spans="4:13">
      <c r="K133" s="36" t="s">
        <v>112</v>
      </c>
      <c r="L133" s="36" t="s">
        <v>110</v>
      </c>
      <c r="M133" s="36" t="s">
        <v>109</v>
      </c>
    </row>
    <row r="134" spans="4:13">
      <c r="K134" s="36">
        <v>-1</v>
      </c>
      <c r="L134" s="36">
        <v>-1</v>
      </c>
      <c r="M134" s="36">
        <v>1500</v>
      </c>
    </row>
    <row r="135" spans="4:13">
      <c r="K135" s="36">
        <v>1</v>
      </c>
      <c r="L135" s="36">
        <v>-1</v>
      </c>
      <c r="M135" s="36">
        <v>2304.42</v>
      </c>
    </row>
    <row r="136" spans="4:13">
      <c r="K136" s="36">
        <v>-1</v>
      </c>
      <c r="L136" s="36">
        <v>1</v>
      </c>
      <c r="M136" s="36">
        <v>1917.13</v>
      </c>
    </row>
    <row r="137" spans="4:13">
      <c r="K137" s="36">
        <v>1</v>
      </c>
      <c r="L137" s="36">
        <v>1</v>
      </c>
      <c r="M137" s="36">
        <v>1824.62</v>
      </c>
    </row>
    <row r="138" spans="4:13">
      <c r="K138" s="36">
        <v>-1.41421</v>
      </c>
      <c r="L138" s="36">
        <v>0</v>
      </c>
      <c r="M138" s="36">
        <v>1405.39</v>
      </c>
    </row>
    <row r="139" spans="4:13">
      <c r="K139" s="36">
        <v>1.41421</v>
      </c>
      <c r="L139" s="36">
        <v>0</v>
      </c>
      <c r="M139" s="36">
        <v>1925.81</v>
      </c>
    </row>
    <row r="140" spans="4:13">
      <c r="K140" s="36">
        <v>0</v>
      </c>
      <c r="L140" s="36">
        <v>-1.41421</v>
      </c>
      <c r="M140" s="36">
        <v>2120.4499999999998</v>
      </c>
    </row>
    <row r="141" spans="4:13">
      <c r="K141" s="36">
        <v>0</v>
      </c>
      <c r="L141" s="36">
        <v>1.41421</v>
      </c>
      <c r="M141" s="36">
        <v>2212.61</v>
      </c>
    </row>
    <row r="142" spans="4:13">
      <c r="K142" s="36">
        <v>0</v>
      </c>
      <c r="L142" s="36">
        <v>0</v>
      </c>
      <c r="M142" s="36">
        <v>1721.38</v>
      </c>
    </row>
    <row r="143" spans="4:13">
      <c r="K143" s="36">
        <v>0</v>
      </c>
      <c r="L143" s="36">
        <v>0</v>
      </c>
      <c r="M143" s="36">
        <v>2498.65</v>
      </c>
    </row>
    <row r="144" spans="4:13">
      <c r="K144" s="36">
        <v>0</v>
      </c>
      <c r="L144" s="36">
        <v>0</v>
      </c>
      <c r="M144" s="36">
        <v>1948.28</v>
      </c>
    </row>
    <row r="145" spans="10:14">
      <c r="K145" s="36">
        <v>0</v>
      </c>
      <c r="L145" s="36">
        <v>0</v>
      </c>
      <c r="M145" s="36">
        <v>2240.88</v>
      </c>
    </row>
    <row r="146" spans="10:14">
      <c r="K146" s="36">
        <v>0</v>
      </c>
      <c r="L146" s="36">
        <v>0</v>
      </c>
      <c r="M146" s="36">
        <v>2174.69</v>
      </c>
    </row>
    <row r="148" spans="10:14">
      <c r="K148" t="s">
        <v>115</v>
      </c>
      <c r="L148" t="s">
        <v>116</v>
      </c>
      <c r="M148" t="s">
        <v>117</v>
      </c>
      <c r="N148" t="s">
        <v>118</v>
      </c>
    </row>
    <row r="150" spans="10:14">
      <c r="J150" s="5"/>
      <c r="K150" s="5"/>
      <c r="L150" s="5"/>
      <c r="M150" s="5"/>
      <c r="N150" s="5"/>
    </row>
    <row r="151" spans="10:14">
      <c r="J151" s="5"/>
      <c r="K151" s="5"/>
      <c r="L151" s="5"/>
      <c r="M151" s="5"/>
      <c r="N151" s="5"/>
    </row>
    <row r="152" spans="10:14">
      <c r="J152" s="5"/>
      <c r="K152" s="5"/>
      <c r="L152" s="5"/>
      <c r="M152" s="5"/>
      <c r="N152" s="5"/>
    </row>
    <row r="153" spans="10:14">
      <c r="J153" s="5"/>
      <c r="K153" s="5"/>
      <c r="L153" s="5"/>
      <c r="M153" s="5"/>
      <c r="N153" s="5"/>
    </row>
    <row r="154" spans="10:14">
      <c r="J154" s="5"/>
      <c r="K154" s="5"/>
      <c r="L154" s="5"/>
      <c r="M154" s="5"/>
      <c r="N154" s="5"/>
    </row>
    <row r="155" spans="10:14">
      <c r="J155" s="5"/>
      <c r="K155" s="5"/>
      <c r="L155" s="5"/>
      <c r="M155" s="5"/>
      <c r="N155" s="5"/>
    </row>
    <row r="156" spans="10:14">
      <c r="J156" s="5"/>
      <c r="K156" s="5"/>
      <c r="L156" s="5"/>
      <c r="M156" s="5"/>
      <c r="N156" s="5"/>
    </row>
    <row r="157" spans="10:14">
      <c r="J157" s="5"/>
      <c r="K157" s="5"/>
      <c r="L157" s="5"/>
      <c r="M157" s="5"/>
      <c r="N157" s="5"/>
    </row>
    <row r="158" spans="10:14">
      <c r="J158" s="5"/>
      <c r="K158" s="5"/>
      <c r="L158" s="5"/>
      <c r="M158" s="5"/>
      <c r="N158" s="5"/>
    </row>
    <row r="160" spans="10:14">
      <c r="K160" t="s">
        <v>120</v>
      </c>
      <c r="L160" s="92">
        <v>0.70699999999999996</v>
      </c>
      <c r="M160" t="s">
        <v>121</v>
      </c>
      <c r="N160" t="s">
        <v>122</v>
      </c>
    </row>
    <row r="162" spans="10:16">
      <c r="J162" t="s">
        <v>127</v>
      </c>
      <c r="K162" t="s">
        <v>113</v>
      </c>
      <c r="L162" t="s">
        <v>123</v>
      </c>
      <c r="M162" t="s">
        <v>124</v>
      </c>
      <c r="N162" t="s">
        <v>125</v>
      </c>
      <c r="O162" t="s">
        <v>114</v>
      </c>
      <c r="P162" t="s">
        <v>111</v>
      </c>
    </row>
    <row r="163" spans="10:16">
      <c r="J163" t="s">
        <v>35</v>
      </c>
      <c r="K163">
        <v>5</v>
      </c>
      <c r="L163">
        <v>856932</v>
      </c>
      <c r="M163">
        <v>856932</v>
      </c>
      <c r="N163">
        <v>171386</v>
      </c>
      <c r="O163">
        <v>3.37</v>
      </c>
      <c r="P163">
        <v>7.1999999999999995E-2</v>
      </c>
    </row>
    <row r="164" spans="10:16">
      <c r="J164" t="s">
        <v>128</v>
      </c>
      <c r="K164">
        <v>2</v>
      </c>
      <c r="L164">
        <v>259770</v>
      </c>
      <c r="M164">
        <v>685311</v>
      </c>
      <c r="N164">
        <v>342656</v>
      </c>
      <c r="O164">
        <v>6.73</v>
      </c>
      <c r="P164">
        <v>2.3E-2</v>
      </c>
    </row>
    <row r="165" spans="10:16">
      <c r="J165" s="34" t="s">
        <v>129</v>
      </c>
      <c r="K165" s="34">
        <v>2</v>
      </c>
      <c r="L165" s="34">
        <v>396040</v>
      </c>
      <c r="M165" s="34">
        <v>396040</v>
      </c>
      <c r="N165" s="34">
        <v>198020</v>
      </c>
      <c r="O165" s="34">
        <v>3.89</v>
      </c>
      <c r="P165" s="34">
        <v>7.2999999999999995E-2</v>
      </c>
    </row>
    <row r="166" spans="10:16">
      <c r="J166" s="5" t="s">
        <v>130</v>
      </c>
      <c r="K166" s="5">
        <v>1</v>
      </c>
      <c r="L166" s="5">
        <v>201121</v>
      </c>
      <c r="M166" s="5">
        <v>201121</v>
      </c>
      <c r="N166" s="5">
        <v>201121</v>
      </c>
      <c r="O166" s="5">
        <v>3.95</v>
      </c>
      <c r="P166" s="5">
        <v>8.6999999999999994E-2</v>
      </c>
    </row>
    <row r="167" spans="10:16">
      <c r="J167" s="5" t="s">
        <v>131</v>
      </c>
      <c r="K167" s="5">
        <v>7</v>
      </c>
      <c r="L167" s="5">
        <v>356384</v>
      </c>
      <c r="M167" s="5">
        <v>356384</v>
      </c>
      <c r="N167" s="5">
        <v>50912</v>
      </c>
      <c r="O167" s="5"/>
      <c r="P167" s="5"/>
    </row>
    <row r="168" spans="10:16">
      <c r="J168" s="5" t="s">
        <v>132</v>
      </c>
      <c r="K168" s="5">
        <v>3</v>
      </c>
      <c r="L168" s="5">
        <v>7067</v>
      </c>
      <c r="M168" s="5">
        <v>7067</v>
      </c>
      <c r="N168" s="5">
        <v>2356</v>
      </c>
      <c r="O168" s="5">
        <v>0.03</v>
      </c>
      <c r="P168" s="5">
        <v>0.99299999999999999</v>
      </c>
    </row>
    <row r="169" spans="10:16">
      <c r="J169" s="5" t="s">
        <v>133</v>
      </c>
      <c r="K169" s="5">
        <v>4</v>
      </c>
      <c r="L169" s="5">
        <v>349317</v>
      </c>
      <c r="M169" s="5">
        <v>349317</v>
      </c>
      <c r="N169" s="5">
        <v>87329</v>
      </c>
      <c r="O169" s="5"/>
      <c r="P169" s="5"/>
    </row>
    <row r="170" spans="10:16">
      <c r="J170" s="5" t="s">
        <v>19</v>
      </c>
      <c r="K170" s="5">
        <v>12</v>
      </c>
      <c r="L170" s="5">
        <v>1213316</v>
      </c>
      <c r="M170" s="5"/>
      <c r="N170" s="5"/>
      <c r="O170" s="5"/>
      <c r="P170" s="5"/>
    </row>
    <row r="171" spans="10:16">
      <c r="J171" s="5"/>
      <c r="K171" s="5"/>
      <c r="L171" s="5"/>
      <c r="M171" s="5"/>
      <c r="N171" s="5"/>
      <c r="O171" s="5"/>
      <c r="P171" s="5"/>
    </row>
    <row r="172" spans="10:16">
      <c r="J172" s="5"/>
      <c r="K172" s="5"/>
      <c r="L172" s="5"/>
      <c r="M172" s="5"/>
      <c r="N172" s="5"/>
      <c r="O172" s="5"/>
      <c r="P172" s="5"/>
    </row>
    <row r="173" spans="10:16">
      <c r="J173" s="5" t="s">
        <v>134</v>
      </c>
      <c r="K173" s="5" t="s">
        <v>135</v>
      </c>
      <c r="L173" s="5" t="s">
        <v>119</v>
      </c>
      <c r="M173" s="5" t="s">
        <v>40</v>
      </c>
      <c r="N173" s="5" t="s">
        <v>111</v>
      </c>
      <c r="O173" s="5"/>
      <c r="P173" s="5"/>
    </row>
    <row r="174" spans="10:16">
      <c r="J174" t="s">
        <v>136</v>
      </c>
      <c r="K174">
        <v>-2962.12</v>
      </c>
      <c r="L174">
        <v>2129.7600000000002</v>
      </c>
      <c r="M174">
        <v>-1.391</v>
      </c>
      <c r="N174">
        <v>0.20699999999999999</v>
      </c>
    </row>
    <row r="175" spans="10:16">
      <c r="J175" t="s">
        <v>112</v>
      </c>
      <c r="K175">
        <v>10.94</v>
      </c>
      <c r="L175">
        <v>15.55</v>
      </c>
      <c r="M175">
        <v>0.70299999999999996</v>
      </c>
      <c r="N175">
        <v>0.504</v>
      </c>
    </row>
    <row r="176" spans="10:16">
      <c r="J176" t="s">
        <v>110</v>
      </c>
      <c r="K176">
        <v>1231.25</v>
      </c>
      <c r="L176">
        <v>341.74</v>
      </c>
      <c r="M176">
        <v>3.6030000000000002</v>
      </c>
      <c r="N176">
        <v>8.9999999999999993E-3</v>
      </c>
    </row>
    <row r="177" spans="10:18">
      <c r="J177" t="s">
        <v>137</v>
      </c>
      <c r="K177">
        <v>0.01</v>
      </c>
      <c r="L177">
        <v>0.03</v>
      </c>
      <c r="M177">
        <v>0.193</v>
      </c>
      <c r="N177" s="92">
        <v>8.5199999999999998E-3</v>
      </c>
    </row>
    <row r="178" spans="10:18">
      <c r="J178" t="s">
        <v>138</v>
      </c>
      <c r="K178">
        <v>-57.6</v>
      </c>
      <c r="L178">
        <v>21.07</v>
      </c>
      <c r="M178">
        <v>-2.734</v>
      </c>
      <c r="N178">
        <v>2.9000000000000001E-2</v>
      </c>
    </row>
    <row r="179" spans="10:18">
      <c r="J179" t="s">
        <v>139</v>
      </c>
      <c r="K179">
        <v>-2.2400000000000002</v>
      </c>
      <c r="L179">
        <v>1.1299999999999999</v>
      </c>
      <c r="M179">
        <v>-1.988</v>
      </c>
      <c r="N179">
        <v>8.6999999999999994E-2</v>
      </c>
    </row>
    <row r="180" spans="10:18">
      <c r="R180" s="92"/>
    </row>
    <row r="223" spans="15:18">
      <c r="O223" s="92"/>
      <c r="R223" s="92"/>
    </row>
  </sheetData>
  <mergeCells count="7">
    <mergeCell ref="C72:D72"/>
    <mergeCell ref="C77:D77"/>
    <mergeCell ref="C73:D73"/>
    <mergeCell ref="R53:S53"/>
    <mergeCell ref="E53:G53"/>
    <mergeCell ref="H53:N53"/>
    <mergeCell ref="O53:Q53"/>
  </mergeCells>
  <hyperlinks>
    <hyperlink ref="G85" r:id="rId1"/>
  </hyperlinks>
  <pageMargins left="0.7" right="0.7" top="0.75" bottom="0.75" header="0.3" footer="0.3"/>
  <pageSetup paperSize="9" orientation="portrait" horizontalDpi="300" verticalDpi="500" r:id="rId2"/>
  <drawing r:id="rId3"/>
  <legacyDrawing r:id="rId4"/>
  <oleObjects>
    <oleObject progId="MtbGraph.Document" shapeId="1025" r:id="rId5"/>
    <oleObject progId="MtbGraph.Document" shapeId="1026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B1:N73"/>
  <sheetViews>
    <sheetView topLeftCell="A16" zoomScale="40" zoomScaleNormal="40" workbookViewId="0">
      <selection activeCell="R69" sqref="R69"/>
    </sheetView>
  </sheetViews>
  <sheetFormatPr defaultRowHeight="15"/>
  <cols>
    <col min="2" max="2" width="15" customWidth="1"/>
  </cols>
  <sheetData>
    <row r="1" spans="2:14">
      <c r="J1" t="s">
        <v>2</v>
      </c>
      <c r="K1">
        <v>3.2</v>
      </c>
      <c r="M1" t="s">
        <v>2</v>
      </c>
      <c r="N1">
        <v>7</v>
      </c>
    </row>
    <row r="2" spans="2:14">
      <c r="J2" t="s">
        <v>2</v>
      </c>
      <c r="K2">
        <v>4</v>
      </c>
      <c r="M2" t="s">
        <v>2</v>
      </c>
      <c r="N2">
        <v>8</v>
      </c>
    </row>
    <row r="3" spans="2:14">
      <c r="J3" t="s">
        <v>2</v>
      </c>
      <c r="K3">
        <v>5</v>
      </c>
      <c r="M3" t="s">
        <v>22</v>
      </c>
      <c r="N3">
        <v>8.8000000000000007</v>
      </c>
    </row>
    <row r="4" spans="2:14">
      <c r="J4" t="s">
        <v>2</v>
      </c>
      <c r="K4">
        <v>6</v>
      </c>
    </row>
    <row r="5" spans="2:14">
      <c r="B5" t="s">
        <v>20</v>
      </c>
      <c r="C5">
        <v>3.3</v>
      </c>
      <c r="D5">
        <v>4</v>
      </c>
      <c r="E5">
        <v>5</v>
      </c>
      <c r="F5">
        <v>6</v>
      </c>
      <c r="G5">
        <v>7</v>
      </c>
      <c r="H5">
        <v>8</v>
      </c>
      <c r="I5">
        <v>8.8000000000000007</v>
      </c>
    </row>
    <row r="6" spans="2:14">
      <c r="B6">
        <v>130</v>
      </c>
      <c r="C6">
        <f>-6833.1+61.426*$B6+1377.9*$K$1-0.1538*$B6^2-102.375*$K$1^2-1.504*$B6*$K$1</f>
        <v>1288.3560000000002</v>
      </c>
      <c r="D6">
        <f>-6833.1+61.426*$B6+1377.9*$K$2-0.1538*$B6^2-102.375*$K$2^2-1.504*$B6*$K$2</f>
        <v>1644.5800000000004</v>
      </c>
      <c r="E6">
        <f>-6833.1+61.426*$B6+1377.9*$K$3-0.1538*$B6^2-102.375*$K$3^2-1.504*$B6*$K$3</f>
        <v>1905.5849999999996</v>
      </c>
      <c r="F6">
        <f>-6833.1+61.426*$B6+1377.9*$K$4-0.1538*$B6^2-102.375*$K$4^2-1.504*$B6*$K$4</f>
        <v>1961.8400000000008</v>
      </c>
      <c r="G6">
        <f>-6833.1+61.426*$B6+1377.9*$N$1-0.1538*$B6^2-102.375*$N$1^2-1.504*$B6*$N$1</f>
        <v>1813.3450000000023</v>
      </c>
      <c r="H6">
        <f>-6833.1+61.426*$B6+1377.9*$N$2-0.1538*$B6^2-102.375*$N$2^2-1.504*$B6*$N$2</f>
        <v>1460.1000000000001</v>
      </c>
      <c r="I6">
        <f>-6833.1+61.426*$B6+1377.9*$N$3-0.1538*$B6^2-102.375*$N$3^2-1.504*$B6*$N$3</f>
        <v>1030.0840000000023</v>
      </c>
      <c r="J6" t="s">
        <v>21</v>
      </c>
      <c r="K6">
        <v>130</v>
      </c>
    </row>
    <row r="7" spans="2:14">
      <c r="B7">
        <v>140</v>
      </c>
      <c r="C7">
        <f t="shared" ref="C7:C20" si="0">-6833.1+61.426*$B7+1377.9*$K$1-0.1538*$B7^2-102.375*$K$1^2-1.504*$B7*$K$1</f>
        <v>1439.2279999999996</v>
      </c>
      <c r="D7">
        <f t="shared" ref="D7:D20" si="1">-6833.1+61.426*$B7+1377.9*$K$2-0.1538*$B7^2-102.375*$K$2^2-1.504*$B7*$K$2</f>
        <v>1783.4199999999998</v>
      </c>
      <c r="E7">
        <f t="shared" ref="E7:E20" si="2">-6833.1+61.426*$B7+1377.9*$K$3-0.1538*$B7^2-102.375*$K$3^2-1.504*$B7*$K$3</f>
        <v>2029.3849999999995</v>
      </c>
      <c r="F7">
        <f t="shared" ref="F7:F20" si="3">-6833.1+61.426*$B7+1377.9*$K$4-0.1538*$B7^2-102.375*$K$4^2-1.504*$B7*$K$4</f>
        <v>2070.6000000000008</v>
      </c>
      <c r="G7">
        <f t="shared" ref="G7:G20" si="4">-6833.1+61.426*$B7+1377.9*$N$1-0.1538*$B7^2-102.375*$N$1^2-1.504*$B7*$N$1</f>
        <v>1907.0650000000005</v>
      </c>
      <c r="H7">
        <f t="shared" ref="H7:H20" si="5">-6833.1+61.426*$B7+1377.9*$N$2-0.1538*$B7^2-102.375*$N$2^2-1.504*$B7*$N$2</f>
        <v>1538.7800000000002</v>
      </c>
      <c r="I7">
        <f t="shared" ref="I7:I20" si="6">-6833.1+61.426*$B7+1377.9*$N$3-0.1538*$B7^2-102.375*$N$3^2-1.504*$B7*$N$3</f>
        <v>1096.7320000000007</v>
      </c>
      <c r="J7" t="s">
        <v>21</v>
      </c>
      <c r="K7">
        <v>150</v>
      </c>
    </row>
    <row r="8" spans="2:14">
      <c r="B8">
        <v>150</v>
      </c>
      <c r="C8">
        <f t="shared" si="0"/>
        <v>1559.3399999999997</v>
      </c>
      <c r="D8">
        <f t="shared" si="1"/>
        <v>1891.4999999999995</v>
      </c>
      <c r="E8">
        <f t="shared" si="2"/>
        <v>2122.4249999999993</v>
      </c>
      <c r="F8">
        <f t="shared" si="3"/>
        <v>2148.6000000000008</v>
      </c>
      <c r="G8">
        <f t="shared" si="4"/>
        <v>1970.0250000000003</v>
      </c>
      <c r="H8">
        <f t="shared" si="5"/>
        <v>1586.7</v>
      </c>
      <c r="I8">
        <f t="shared" si="6"/>
        <v>1132.6200000000003</v>
      </c>
      <c r="J8" t="s">
        <v>21</v>
      </c>
      <c r="K8">
        <v>180</v>
      </c>
    </row>
    <row r="9" spans="2:14">
      <c r="B9">
        <v>160</v>
      </c>
      <c r="C9">
        <f t="shared" si="0"/>
        <v>1648.6920000000002</v>
      </c>
      <c r="D9">
        <f t="shared" si="1"/>
        <v>1968.8200000000002</v>
      </c>
      <c r="E9">
        <f t="shared" si="2"/>
        <v>2184.7049999999999</v>
      </c>
      <c r="F9">
        <f t="shared" si="3"/>
        <v>2195.8400000000011</v>
      </c>
      <c r="G9">
        <f t="shared" si="4"/>
        <v>2002.2250000000017</v>
      </c>
      <c r="H9">
        <f t="shared" si="5"/>
        <v>1603.8599999999997</v>
      </c>
      <c r="I9">
        <f t="shared" si="6"/>
        <v>1137.7480000000019</v>
      </c>
      <c r="J9" t="s">
        <v>21</v>
      </c>
      <c r="K9">
        <v>200</v>
      </c>
    </row>
    <row r="10" spans="2:14">
      <c r="B10">
        <v>170</v>
      </c>
      <c r="C10">
        <f t="shared" si="0"/>
        <v>1707.2840000000006</v>
      </c>
      <c r="D10">
        <f t="shared" si="1"/>
        <v>2015.3800000000003</v>
      </c>
      <c r="E10">
        <f t="shared" si="2"/>
        <v>2216.2249999999999</v>
      </c>
      <c r="F10">
        <f t="shared" si="3"/>
        <v>2212.3200000000015</v>
      </c>
      <c r="G10">
        <f t="shared" si="4"/>
        <v>2003.6650000000011</v>
      </c>
      <c r="H10">
        <f t="shared" si="5"/>
        <v>1590.2600000000007</v>
      </c>
      <c r="I10">
        <f t="shared" si="6"/>
        <v>1112.1160000000009</v>
      </c>
      <c r="J10" t="s">
        <v>21</v>
      </c>
      <c r="K10">
        <v>230</v>
      </c>
    </row>
    <row r="11" spans="2:14">
      <c r="B11">
        <v>180</v>
      </c>
      <c r="C11">
        <f t="shared" si="0"/>
        <v>1735.1160000000004</v>
      </c>
      <c r="D11">
        <f t="shared" si="1"/>
        <v>2031.1800000000003</v>
      </c>
      <c r="E11">
        <f t="shared" si="2"/>
        <v>2216.9849999999997</v>
      </c>
      <c r="F11">
        <f t="shared" si="3"/>
        <v>2198.0400000000013</v>
      </c>
      <c r="G11">
        <f t="shared" si="4"/>
        <v>1974.3450000000018</v>
      </c>
      <c r="H11">
        <f t="shared" si="5"/>
        <v>1545.8999999999996</v>
      </c>
      <c r="I11">
        <f t="shared" si="6"/>
        <v>1055.724000000002</v>
      </c>
      <c r="J11" t="s">
        <v>21</v>
      </c>
      <c r="K11">
        <v>250</v>
      </c>
    </row>
    <row r="12" spans="2:14">
      <c r="B12">
        <v>190</v>
      </c>
      <c r="C12">
        <f t="shared" si="0"/>
        <v>1732.1880000000012</v>
      </c>
      <c r="D12">
        <f t="shared" si="1"/>
        <v>2016.2200000000012</v>
      </c>
      <c r="E12">
        <f t="shared" si="2"/>
        <v>2186.9850000000006</v>
      </c>
      <c r="F12">
        <f t="shared" si="3"/>
        <v>2153.0000000000023</v>
      </c>
      <c r="G12">
        <f t="shared" si="4"/>
        <v>1914.2650000000028</v>
      </c>
      <c r="H12">
        <f t="shared" si="5"/>
        <v>1470.7800000000007</v>
      </c>
      <c r="I12">
        <f t="shared" si="6"/>
        <v>968.57199999999921</v>
      </c>
      <c r="J12" t="s">
        <v>21</v>
      </c>
      <c r="K12">
        <v>270</v>
      </c>
    </row>
    <row r="13" spans="2:14">
      <c r="B13">
        <v>200</v>
      </c>
      <c r="C13">
        <f t="shared" si="0"/>
        <v>1698.5000000000009</v>
      </c>
      <c r="D13">
        <f t="shared" si="1"/>
        <v>1970.5000000000007</v>
      </c>
      <c r="E13">
        <f t="shared" si="2"/>
        <v>2126.2250000000004</v>
      </c>
      <c r="F13">
        <f t="shared" si="3"/>
        <v>2077.2000000000016</v>
      </c>
      <c r="G13">
        <f t="shared" si="4"/>
        <v>1823.4250000000015</v>
      </c>
      <c r="H13">
        <f t="shared" si="5"/>
        <v>1364.9000000000028</v>
      </c>
      <c r="I13">
        <f t="shared" si="6"/>
        <v>850.66000000000122</v>
      </c>
    </row>
    <row r="14" spans="2:14">
      <c r="B14">
        <v>210</v>
      </c>
      <c r="C14">
        <f t="shared" si="0"/>
        <v>1634.052000000001</v>
      </c>
      <c r="D14">
        <f t="shared" si="1"/>
        <v>1894.0200000000011</v>
      </c>
      <c r="E14">
        <f t="shared" si="2"/>
        <v>2034.7050000000008</v>
      </c>
      <c r="F14">
        <f t="shared" si="3"/>
        <v>1970.6400000000021</v>
      </c>
      <c r="G14">
        <f t="shared" si="4"/>
        <v>1701.8250000000021</v>
      </c>
      <c r="H14">
        <f t="shared" si="5"/>
        <v>1228.2600000000016</v>
      </c>
      <c r="I14">
        <f t="shared" si="6"/>
        <v>701.98800000000392</v>
      </c>
    </row>
    <row r="15" spans="2:14">
      <c r="B15">
        <v>220</v>
      </c>
      <c r="C15">
        <f t="shared" si="0"/>
        <v>1538.8440000000012</v>
      </c>
      <c r="D15">
        <f t="shared" si="1"/>
        <v>1786.7800000000011</v>
      </c>
      <c r="E15">
        <f t="shared" si="2"/>
        <v>1912.4250000000006</v>
      </c>
      <c r="F15">
        <f t="shared" si="3"/>
        <v>1833.3200000000022</v>
      </c>
      <c r="G15">
        <f t="shared" si="4"/>
        <v>1549.465000000002</v>
      </c>
      <c r="H15">
        <f t="shared" si="5"/>
        <v>1060.8599999999997</v>
      </c>
      <c r="I15">
        <f t="shared" si="6"/>
        <v>522.55600000000186</v>
      </c>
    </row>
    <row r="16" spans="2:14">
      <c r="B16">
        <v>230</v>
      </c>
      <c r="C16">
        <f t="shared" si="0"/>
        <v>1412.876</v>
      </c>
      <c r="D16">
        <f t="shared" si="1"/>
        <v>1648.78</v>
      </c>
      <c r="E16">
        <f t="shared" si="2"/>
        <v>1759.3849999999995</v>
      </c>
      <c r="F16">
        <f t="shared" si="3"/>
        <v>1665.2400000000011</v>
      </c>
      <c r="G16">
        <f t="shared" si="4"/>
        <v>1366.3449999999998</v>
      </c>
      <c r="H16">
        <f t="shared" si="5"/>
        <v>862.70000000000118</v>
      </c>
      <c r="I16">
        <f t="shared" si="6"/>
        <v>312.36399999999958</v>
      </c>
    </row>
    <row r="17" spans="2:9">
      <c r="B17">
        <v>240</v>
      </c>
      <c r="C17">
        <f t="shared" si="0"/>
        <v>1256.1480000000008</v>
      </c>
      <c r="D17">
        <f t="shared" si="1"/>
        <v>1480.0200000000007</v>
      </c>
      <c r="E17">
        <f t="shared" si="2"/>
        <v>1575.5850000000003</v>
      </c>
      <c r="F17">
        <f t="shared" si="3"/>
        <v>1466.4000000000019</v>
      </c>
      <c r="G17">
        <f t="shared" si="4"/>
        <v>1152.4650000000033</v>
      </c>
      <c r="H17">
        <f t="shared" si="5"/>
        <v>633.78000000000111</v>
      </c>
      <c r="I17">
        <f t="shared" si="6"/>
        <v>71.412000000003445</v>
      </c>
    </row>
    <row r="18" spans="2:9">
      <c r="B18">
        <v>250</v>
      </c>
      <c r="C18">
        <f t="shared" si="0"/>
        <v>1068.6600000000001</v>
      </c>
      <c r="D18">
        <f t="shared" si="1"/>
        <v>1280.5</v>
      </c>
      <c r="E18">
        <f t="shared" si="2"/>
        <v>1361.0249999999996</v>
      </c>
      <c r="F18">
        <f t="shared" si="3"/>
        <v>1236.8000000000029</v>
      </c>
      <c r="G18">
        <f t="shared" si="4"/>
        <v>907.82500000000073</v>
      </c>
      <c r="H18">
        <f t="shared" si="5"/>
        <v>374.09999999999854</v>
      </c>
      <c r="I18">
        <f t="shared" si="6"/>
        <v>-200.29999999999927</v>
      </c>
    </row>
    <row r="19" spans="2:9">
      <c r="B19">
        <v>260</v>
      </c>
      <c r="C19">
        <f t="shared" si="0"/>
        <v>850.41200000000094</v>
      </c>
      <c r="D19">
        <f t="shared" si="1"/>
        <v>1050.2200000000009</v>
      </c>
      <c r="E19">
        <f t="shared" si="2"/>
        <v>1115.7050000000006</v>
      </c>
      <c r="F19">
        <f t="shared" si="3"/>
        <v>976.44000000000187</v>
      </c>
      <c r="G19">
        <f t="shared" si="4"/>
        <v>632.42499999999973</v>
      </c>
      <c r="H19">
        <f t="shared" si="5"/>
        <v>83.660000000001219</v>
      </c>
      <c r="I19">
        <f t="shared" si="6"/>
        <v>-502.77200000000039</v>
      </c>
    </row>
    <row r="20" spans="2:9">
      <c r="B20">
        <v>270</v>
      </c>
      <c r="C20">
        <f t="shared" si="0"/>
        <v>601.40400000000182</v>
      </c>
      <c r="D20">
        <f t="shared" si="1"/>
        <v>789.18000000000188</v>
      </c>
      <c r="E20">
        <f t="shared" si="2"/>
        <v>839.62499999999977</v>
      </c>
      <c r="F20">
        <f t="shared" si="3"/>
        <v>685.32000000000107</v>
      </c>
      <c r="G20">
        <f t="shared" si="4"/>
        <v>326.2650000000026</v>
      </c>
      <c r="H20">
        <f t="shared" si="5"/>
        <v>-237.53999999999587</v>
      </c>
      <c r="I20">
        <f t="shared" si="6"/>
        <v>-836.00399999999763</v>
      </c>
    </row>
    <row r="23" spans="2:9">
      <c r="B23" t="s">
        <v>3</v>
      </c>
    </row>
    <row r="24" spans="2:9">
      <c r="C24">
        <v>130</v>
      </c>
      <c r="D24">
        <v>150</v>
      </c>
      <c r="E24">
        <v>180</v>
      </c>
      <c r="F24">
        <v>200</v>
      </c>
      <c r="G24">
        <v>230</v>
      </c>
      <c r="H24">
        <v>260</v>
      </c>
      <c r="I24">
        <v>270</v>
      </c>
    </row>
    <row r="25" spans="2:9">
      <c r="B25">
        <v>3.3</v>
      </c>
      <c r="C25">
        <f>-6833.1+61.426*$C$24+1377.9*$B25-0.1538*$C$24^2-102.375*$B25^2-1.504*$C$24*$B25</f>
        <v>1340.0502499999998</v>
      </c>
      <c r="D25">
        <f>-6833.1+61.426*$D$24+1377.9*$B25-0.1538*$D$24^2-102.375*$B25^2-1.504*$D$24*$B25</f>
        <v>1608.026249999999</v>
      </c>
      <c r="E25">
        <f>-6833.1+61.426*$E$24+1377.9*$B25-0.1538*$E$24^2-102.375*$B25^2-1.504*$E$24*$B25</f>
        <v>1779.2902499999996</v>
      </c>
      <c r="F25">
        <f>-6833.1+61.426*$F$24+1377.9*$B25-0.1538*$F$24^2-102.375*$B25^2-1.504*$F$24*$B25</f>
        <v>1739.6662500000002</v>
      </c>
      <c r="G25">
        <f>-6833.1+61.426*$G$24+1377.9*$B25-0.1538*$G$24^2-102.375*$B25^2-1.504*$G$24*$B25</f>
        <v>1449.5302499999993</v>
      </c>
      <c r="H25">
        <f>-6833.1+61.426*$H$24+1377.9*$B25-0.1538*$H$24^2-102.375*$B25^2-1.504*$H$24*$B25</f>
        <v>882.55425000000037</v>
      </c>
      <c r="I25">
        <f>-6833.1+61.426*$I$24+1377.9*$B25-0.1538*$I$24^2-102.375*$B25^2-1.504*$I$24*$B25</f>
        <v>632.04225000000133</v>
      </c>
    </row>
    <row r="26" spans="2:9">
      <c r="B26">
        <v>4</v>
      </c>
      <c r="C26">
        <f t="shared" ref="C26:C35" si="7">-6833.1+61.426*$C$24+1377.9*$B26-0.1538*$C$24^2-102.375*$B26^2-1.504*$C$24*$B26</f>
        <v>1644.5800000000004</v>
      </c>
      <c r="D26">
        <f t="shared" ref="D26:D35" si="8">-6833.1+61.426*$D$24+1377.9*$B26-0.1538*$D$24^2-102.375*$B26^2-1.504*$D$24*$B26</f>
        <v>1891.4999999999995</v>
      </c>
      <c r="E26">
        <f t="shared" ref="E26:E35" si="9">-6833.1+61.426*$E$24+1377.9*$B26-0.1538*$E$24^2-102.375*$B26^2-1.504*$E$24*$B26</f>
        <v>2031.1800000000003</v>
      </c>
      <c r="F26">
        <f t="shared" ref="F26:F35" si="10">-6833.1+61.426*$F$24+1377.9*$B26-0.1538*$F$24^2-102.375*$B26^2-1.504*$F$24*$B26</f>
        <v>1970.5000000000007</v>
      </c>
      <c r="G26">
        <f t="shared" ref="G26:G35" si="11">-6833.1+61.426*$G$24+1377.9*$B26-0.1538*$G$24^2-102.375*$B26^2-1.504*$G$24*$B26</f>
        <v>1648.78</v>
      </c>
      <c r="H26">
        <f t="shared" ref="H26:H35" si="12">-6833.1+61.426*$H$24+1377.9*$B26-0.1538*$H$24^2-102.375*$B26^2-1.504*$H$24*$B26</f>
        <v>1050.2200000000009</v>
      </c>
      <c r="I26">
        <f t="shared" ref="I26:I35" si="13">-6833.1+61.426*$I$24+1377.9*$B26-0.1538*$I$24^2-102.375*$B26^2-1.504*$I$24*$B26</f>
        <v>789.18000000000188</v>
      </c>
    </row>
    <row r="27" spans="2:9">
      <c r="B27">
        <v>4.5</v>
      </c>
      <c r="C27">
        <f t="shared" si="7"/>
        <v>1800.6762500000004</v>
      </c>
      <c r="D27">
        <f t="shared" si="8"/>
        <v>2032.5562499999987</v>
      </c>
      <c r="E27">
        <f t="shared" si="9"/>
        <v>2149.6762500000009</v>
      </c>
      <c r="F27">
        <f t="shared" si="10"/>
        <v>2073.9562500000011</v>
      </c>
      <c r="G27">
        <f t="shared" si="11"/>
        <v>1729.6762500000007</v>
      </c>
      <c r="H27">
        <f t="shared" si="12"/>
        <v>1108.5562499999999</v>
      </c>
      <c r="I27">
        <f t="shared" si="13"/>
        <v>839.99625000000265</v>
      </c>
    </row>
    <row r="28" spans="2:9">
      <c r="B28">
        <v>5</v>
      </c>
      <c r="C28">
        <f t="shared" si="7"/>
        <v>1905.5849999999996</v>
      </c>
      <c r="D28">
        <f t="shared" si="8"/>
        <v>2122.4249999999993</v>
      </c>
      <c r="E28">
        <f t="shared" si="9"/>
        <v>2216.9849999999997</v>
      </c>
      <c r="F28">
        <f t="shared" si="10"/>
        <v>2126.2250000000004</v>
      </c>
      <c r="G28">
        <f t="shared" si="11"/>
        <v>1759.3849999999995</v>
      </c>
      <c r="H28">
        <f t="shared" si="12"/>
        <v>1115.7050000000006</v>
      </c>
      <c r="I28">
        <f t="shared" si="13"/>
        <v>839.62499999999977</v>
      </c>
    </row>
    <row r="29" spans="2:9">
      <c r="B29">
        <v>5.5</v>
      </c>
      <c r="C29">
        <f t="shared" si="7"/>
        <v>1959.3062500000001</v>
      </c>
      <c r="D29">
        <f t="shared" si="8"/>
        <v>2161.1062499999998</v>
      </c>
      <c r="E29">
        <f t="shared" si="9"/>
        <v>2233.1062500000007</v>
      </c>
      <c r="F29">
        <f t="shared" si="10"/>
        <v>2127.306250000001</v>
      </c>
      <c r="G29">
        <f t="shared" si="11"/>
        <v>1737.9062500000002</v>
      </c>
      <c r="H29">
        <f t="shared" si="12"/>
        <v>1071.6662500000011</v>
      </c>
      <c r="I29">
        <f t="shared" si="13"/>
        <v>788.06625000000395</v>
      </c>
    </row>
    <row r="30" spans="2:9">
      <c r="B30">
        <v>6</v>
      </c>
      <c r="C30">
        <f t="shared" si="7"/>
        <v>1961.8400000000008</v>
      </c>
      <c r="D30">
        <f t="shared" si="8"/>
        <v>2148.6000000000008</v>
      </c>
      <c r="E30">
        <f t="shared" si="9"/>
        <v>2198.0400000000013</v>
      </c>
      <c r="F30">
        <f t="shared" si="10"/>
        <v>2077.2000000000016</v>
      </c>
      <c r="G30">
        <f t="shared" si="11"/>
        <v>1665.2400000000011</v>
      </c>
      <c r="H30">
        <f t="shared" si="12"/>
        <v>976.44000000000187</v>
      </c>
      <c r="I30">
        <f t="shared" si="13"/>
        <v>685.32000000000107</v>
      </c>
    </row>
    <row r="31" spans="2:9">
      <c r="B31">
        <v>6.5</v>
      </c>
      <c r="C31">
        <f t="shared" si="7"/>
        <v>1913.1862500000016</v>
      </c>
      <c r="D31">
        <f t="shared" si="8"/>
        <v>2084.90625</v>
      </c>
      <c r="E31">
        <f t="shared" si="9"/>
        <v>2111.786250000001</v>
      </c>
      <c r="F31">
        <f t="shared" si="10"/>
        <v>1975.9062500000007</v>
      </c>
      <c r="G31">
        <f t="shared" si="11"/>
        <v>1541.38625</v>
      </c>
      <c r="H31">
        <f t="shared" si="12"/>
        <v>830.02625000000262</v>
      </c>
      <c r="I31">
        <f t="shared" si="13"/>
        <v>531.38625000000184</v>
      </c>
    </row>
    <row r="32" spans="2:9">
      <c r="B32">
        <v>7</v>
      </c>
      <c r="C32">
        <f t="shared" si="7"/>
        <v>1813.3450000000023</v>
      </c>
      <c r="D32">
        <f t="shared" si="8"/>
        <v>1970.0250000000003</v>
      </c>
      <c r="E32">
        <f t="shared" si="9"/>
        <v>1974.3450000000018</v>
      </c>
      <c r="F32">
        <f t="shared" si="10"/>
        <v>1823.4250000000015</v>
      </c>
      <c r="G32">
        <f t="shared" si="11"/>
        <v>1366.3449999999998</v>
      </c>
      <c r="H32">
        <f t="shared" si="12"/>
        <v>632.42499999999973</v>
      </c>
      <c r="I32">
        <f t="shared" si="13"/>
        <v>326.2650000000026</v>
      </c>
    </row>
    <row r="33" spans="2:9">
      <c r="B33">
        <v>7.5</v>
      </c>
      <c r="C33">
        <f t="shared" si="7"/>
        <v>1662.3162499999994</v>
      </c>
      <c r="D33">
        <f t="shared" si="8"/>
        <v>1803.9562499999993</v>
      </c>
      <c r="E33">
        <f t="shared" si="9"/>
        <v>1785.716249999999</v>
      </c>
      <c r="F33">
        <f t="shared" si="10"/>
        <v>1619.7562500000004</v>
      </c>
      <c r="G33">
        <f t="shared" si="11"/>
        <v>1140.1162499999969</v>
      </c>
      <c r="H33">
        <f t="shared" si="12"/>
        <v>383.63625000000047</v>
      </c>
      <c r="I33">
        <f t="shared" si="13"/>
        <v>69.956249999999727</v>
      </c>
    </row>
    <row r="34" spans="2:9">
      <c r="B34">
        <v>8</v>
      </c>
      <c r="C34">
        <f t="shared" si="7"/>
        <v>1460.1000000000001</v>
      </c>
      <c r="D34">
        <f t="shared" si="8"/>
        <v>1586.7</v>
      </c>
      <c r="E34">
        <f t="shared" si="9"/>
        <v>1545.8999999999996</v>
      </c>
      <c r="F34">
        <f t="shared" si="10"/>
        <v>1364.9000000000028</v>
      </c>
      <c r="G34">
        <f t="shared" si="11"/>
        <v>862.70000000000118</v>
      </c>
      <c r="H34">
        <f t="shared" si="12"/>
        <v>83.660000000001219</v>
      </c>
      <c r="I34">
        <f t="shared" si="13"/>
        <v>-237.53999999999587</v>
      </c>
    </row>
    <row r="35" spans="2:9">
      <c r="B35">
        <v>8.8000000000000007</v>
      </c>
      <c r="C35">
        <f t="shared" si="7"/>
        <v>1030.0840000000023</v>
      </c>
      <c r="D35">
        <f t="shared" si="8"/>
        <v>1132.6200000000003</v>
      </c>
      <c r="E35">
        <f t="shared" si="9"/>
        <v>1055.724000000002</v>
      </c>
      <c r="F35">
        <f t="shared" si="10"/>
        <v>850.66000000000122</v>
      </c>
      <c r="G35">
        <f t="shared" si="11"/>
        <v>312.36399999999958</v>
      </c>
      <c r="H35">
        <f t="shared" si="12"/>
        <v>-502.77200000000039</v>
      </c>
      <c r="I35">
        <f t="shared" si="13"/>
        <v>-836.00399999999763</v>
      </c>
    </row>
    <row r="57" spans="2:7">
      <c r="B57" t="s">
        <v>53</v>
      </c>
    </row>
    <row r="59" spans="2:7">
      <c r="B59" t="s">
        <v>54</v>
      </c>
      <c r="C59" s="9" t="s">
        <v>55</v>
      </c>
      <c r="D59" s="10"/>
      <c r="E59" s="10"/>
      <c r="F59" s="11"/>
    </row>
    <row r="60" spans="2:7">
      <c r="C60" s="12"/>
      <c r="D60" s="13" t="s">
        <v>39</v>
      </c>
      <c r="E60" s="13" t="s">
        <v>40</v>
      </c>
      <c r="F60" s="8" t="s">
        <v>56</v>
      </c>
      <c r="G60" s="14" t="s">
        <v>57</v>
      </c>
    </row>
    <row r="61" spans="2:7">
      <c r="B61">
        <v>1.6739999999999999</v>
      </c>
      <c r="C61" s="15">
        <f>B61*1000</f>
        <v>1674</v>
      </c>
      <c r="D61" s="8">
        <v>4</v>
      </c>
      <c r="E61" s="8">
        <v>150</v>
      </c>
      <c r="F61" s="8">
        <v>-1</v>
      </c>
      <c r="G61" s="14">
        <v>-1</v>
      </c>
    </row>
    <row r="62" spans="2:7">
      <c r="B62">
        <v>0.98799999999999999</v>
      </c>
      <c r="C62" s="15">
        <f t="shared" ref="C62:C71" si="14">B62*1000</f>
        <v>988</v>
      </c>
      <c r="D62" s="8">
        <v>4</v>
      </c>
      <c r="E62" s="8">
        <v>250</v>
      </c>
      <c r="F62" s="8">
        <v>-1</v>
      </c>
      <c r="G62" s="14">
        <v>1</v>
      </c>
    </row>
    <row r="63" spans="2:7">
      <c r="B63">
        <v>1.8029999999999999</v>
      </c>
      <c r="C63" s="15">
        <f t="shared" si="14"/>
        <v>1803</v>
      </c>
      <c r="D63" s="8">
        <v>8</v>
      </c>
      <c r="E63" s="8">
        <v>150</v>
      </c>
      <c r="F63" s="8">
        <v>1</v>
      </c>
      <c r="G63" s="14">
        <v>-1</v>
      </c>
    </row>
    <row r="64" spans="2:7">
      <c r="B64">
        <v>0.51529999999999998</v>
      </c>
      <c r="C64" s="15">
        <f t="shared" si="14"/>
        <v>515.29999999999995</v>
      </c>
      <c r="D64" s="8">
        <v>8</v>
      </c>
      <c r="E64" s="8">
        <v>250</v>
      </c>
      <c r="F64" s="8">
        <v>1</v>
      </c>
      <c r="G64" s="14">
        <v>1</v>
      </c>
    </row>
    <row r="65" spans="2:7">
      <c r="B65">
        <v>1.9379999999999999</v>
      </c>
      <c r="C65" s="15">
        <f t="shared" si="14"/>
        <v>1938</v>
      </c>
      <c r="D65" s="8">
        <v>6</v>
      </c>
      <c r="E65" s="8">
        <v>130</v>
      </c>
      <c r="F65" s="8">
        <v>0</v>
      </c>
      <c r="G65" s="14">
        <v>-1.4139999999999999</v>
      </c>
    </row>
    <row r="66" spans="2:7">
      <c r="B66">
        <v>0.755</v>
      </c>
      <c r="C66" s="15">
        <f t="shared" si="14"/>
        <v>755</v>
      </c>
      <c r="D66" s="8">
        <v>6</v>
      </c>
      <c r="E66" s="8">
        <v>270</v>
      </c>
      <c r="F66" s="8">
        <v>0</v>
      </c>
      <c r="G66" s="14">
        <v>1.4139999999999999</v>
      </c>
    </row>
    <row r="67" spans="2:7">
      <c r="B67">
        <v>2.0312999999999999</v>
      </c>
      <c r="C67" s="15">
        <f t="shared" si="14"/>
        <v>2031.3</v>
      </c>
      <c r="D67" s="8">
        <v>3.17</v>
      </c>
      <c r="E67" s="8">
        <v>200</v>
      </c>
      <c r="F67" s="8">
        <v>-1.4140999999999999</v>
      </c>
      <c r="G67" s="14">
        <v>0</v>
      </c>
    </row>
    <row r="68" spans="2:7">
      <c r="B68">
        <v>0.56169999999999998</v>
      </c>
      <c r="C68" s="15">
        <f t="shared" si="14"/>
        <v>561.69999999999993</v>
      </c>
      <c r="D68" s="8">
        <v>8.8800000000000008</v>
      </c>
      <c r="E68" s="8">
        <v>200</v>
      </c>
      <c r="F68" s="8">
        <v>1.4140999999999999</v>
      </c>
      <c r="G68" s="14">
        <v>0</v>
      </c>
    </row>
    <row r="69" spans="2:7">
      <c r="B69">
        <v>2.056</v>
      </c>
      <c r="C69" s="15">
        <f t="shared" si="14"/>
        <v>2056</v>
      </c>
      <c r="D69" s="8">
        <v>6</v>
      </c>
      <c r="E69" s="8">
        <v>200</v>
      </c>
      <c r="F69" s="8">
        <v>0</v>
      </c>
      <c r="G69" s="14">
        <v>0</v>
      </c>
    </row>
    <row r="70" spans="2:7">
      <c r="B70">
        <v>2.431</v>
      </c>
      <c r="C70" s="15">
        <f t="shared" si="14"/>
        <v>2431</v>
      </c>
      <c r="D70" s="8">
        <v>6</v>
      </c>
      <c r="E70" s="8">
        <v>200</v>
      </c>
      <c r="F70" s="8">
        <v>0</v>
      </c>
      <c r="G70" s="14">
        <v>0</v>
      </c>
    </row>
    <row r="71" spans="2:7">
      <c r="B71">
        <v>1.7446999999999999</v>
      </c>
      <c r="C71" s="16">
        <f t="shared" si="14"/>
        <v>1744.6999999999998</v>
      </c>
      <c r="D71" s="8">
        <v>6</v>
      </c>
      <c r="E71" s="8">
        <v>200</v>
      </c>
      <c r="F71" s="8">
        <v>0</v>
      </c>
      <c r="G71" s="14">
        <v>0</v>
      </c>
    </row>
    <row r="72" spans="2:7">
      <c r="D72" s="3"/>
      <c r="E72" s="3"/>
    </row>
    <row r="73" spans="2:7">
      <c r="D73" s="3"/>
      <c r="E73" s="3"/>
    </row>
  </sheetData>
  <pageMargins left="0.7" right="0.7" top="0.75" bottom="0.75" header="0.3" footer="0.3"/>
  <pageSetup paperSize="9" orientation="portrait" horizontalDpi="300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11"/>
  <sheetViews>
    <sheetView tabSelected="1" topLeftCell="A55" zoomScaleNormal="100" workbookViewId="0">
      <selection activeCell="F51" sqref="F51"/>
    </sheetView>
  </sheetViews>
  <sheetFormatPr defaultRowHeight="15"/>
  <cols>
    <col min="2" max="2" width="15" customWidth="1"/>
    <col min="3" max="3" width="14.42578125" customWidth="1"/>
    <col min="6" max="6" width="13" bestFit="1" customWidth="1"/>
    <col min="8" max="8" width="12.7109375" bestFit="1" customWidth="1"/>
    <col min="10" max="10" width="13.42578125" customWidth="1"/>
    <col min="13" max="13" width="37.140625" customWidth="1"/>
    <col min="15" max="15" width="13.140625" bestFit="1" customWidth="1"/>
    <col min="17" max="18" width="13" bestFit="1" customWidth="1"/>
    <col min="19" max="19" width="9.42578125" bestFit="1" customWidth="1"/>
    <col min="24" max="24" width="12.5703125" bestFit="1" customWidth="1"/>
    <col min="26" max="26" width="12.5703125" bestFit="1" customWidth="1"/>
    <col min="27" max="27" width="12.28515625" bestFit="1" customWidth="1"/>
  </cols>
  <sheetData>
    <row r="1" spans="1:28">
      <c r="J1" s="22" t="s">
        <v>2</v>
      </c>
      <c r="K1" s="23">
        <v>3.2</v>
      </c>
      <c r="L1" s="23"/>
      <c r="M1" s="23" t="s">
        <v>2</v>
      </c>
      <c r="N1" s="24">
        <v>7</v>
      </c>
    </row>
    <row r="2" spans="1:28">
      <c r="J2" s="25" t="s">
        <v>2</v>
      </c>
      <c r="K2" s="2">
        <v>4</v>
      </c>
      <c r="L2" s="2"/>
      <c r="M2" s="2" t="s">
        <v>2</v>
      </c>
      <c r="N2" s="26">
        <v>8</v>
      </c>
    </row>
    <row r="3" spans="1:28" ht="21.75" thickBot="1">
      <c r="A3" s="52" t="s">
        <v>86</v>
      </c>
      <c r="B3" s="53"/>
      <c r="C3" s="53"/>
      <c r="D3" s="54"/>
      <c r="E3" s="54"/>
      <c r="J3" s="25" t="s">
        <v>2</v>
      </c>
      <c r="K3" s="2">
        <v>5</v>
      </c>
      <c r="L3" s="2"/>
      <c r="M3" s="2" t="s">
        <v>22</v>
      </c>
      <c r="N3" s="26">
        <v>8.1999999999999993</v>
      </c>
    </row>
    <row r="4" spans="1:28" ht="16.5" thickTop="1" thickBot="1">
      <c r="J4" s="40" t="s">
        <v>2</v>
      </c>
      <c r="K4" s="30">
        <v>6</v>
      </c>
      <c r="L4" s="30"/>
      <c r="M4" s="30"/>
      <c r="N4" s="31"/>
      <c r="AB4" t="s">
        <v>80</v>
      </c>
    </row>
    <row r="5" spans="1:28">
      <c r="A5" s="41" t="s">
        <v>20</v>
      </c>
      <c r="B5" s="42">
        <v>3.3</v>
      </c>
      <c r="C5" s="42">
        <v>4</v>
      </c>
      <c r="D5" s="42">
        <v>5</v>
      </c>
      <c r="E5" s="42">
        <v>6</v>
      </c>
      <c r="F5" s="42">
        <v>7</v>
      </c>
      <c r="G5" s="42">
        <v>8</v>
      </c>
      <c r="H5" s="43">
        <v>8.8800000000000008</v>
      </c>
    </row>
    <row r="6" spans="1:28" ht="48.75" customHeight="1">
      <c r="A6" s="44">
        <v>130</v>
      </c>
      <c r="B6" s="36">
        <f>-3.535+0.03205*A6+0.694*$B$5-0.00008*A6^2-0.0514*$B$5^2-0.00077*A6*$B$5</f>
        <v>0.67962399999999956</v>
      </c>
      <c r="C6" s="36">
        <f>-3.535+0.03205*$A6+0.694*$C$5-0.00008*$A6^2-0.0514*$C$5^2-0.00077*$A6*$C$5</f>
        <v>0.83269999999999944</v>
      </c>
      <c r="D6" s="36">
        <f>-3.535+0.03205*$A6+0.694*$D$5-0.00008*$A6^2-0.0514*$D$5^2-0.00077*$A6*$D$5</f>
        <v>0.9639999999999993</v>
      </c>
      <c r="E6" s="36">
        <f>-3.535+0.03205*$A6+0.694*$E$5-0.00008*$A6^2-0.0514*$E$5^2-0.00077*$A6*$E$5</f>
        <v>0.99249999999999927</v>
      </c>
      <c r="F6" s="36">
        <f>-3.535+0.03205*$A6+0.694*$F$5-0.00008*$A6^2-0.0514*$F$5^2-0.00077*$A6*$F$5</f>
        <v>0.91819999999999913</v>
      </c>
      <c r="G6" s="36">
        <f>-3.535+0.03205*$A6+0.694*$G$5-0.00008*$A6^2-0.0514*$G$5^2-0.00077*$A6*$G$5</f>
        <v>0.7410999999999992</v>
      </c>
      <c r="H6" s="36">
        <f>-3.535+0.03205*$A6+0.694*$H$5-0.00008*$A6^2-0.0514*$H$5^2-0.00077*$A6*$H$5</f>
        <v>0.50021583999999886</v>
      </c>
    </row>
    <row r="7" spans="1:28">
      <c r="A7" s="44">
        <v>140</v>
      </c>
      <c r="B7" s="36">
        <f t="shared" ref="B7:B20" si="0">-3.535+0.03205*A7+0.694*$B$5-0.00008*A7^2-0.0514*$B$5^2-0.00077*A7*$B$5</f>
        <v>0.75871399999999944</v>
      </c>
      <c r="C7" s="36">
        <f t="shared" ref="C7:C20" si="1">-3.535+0.03205*$A7+0.694*$C$5-0.00008*$A7^2-0.0514*$C$5^2-0.00077*$A7*$C$5</f>
        <v>0.90639999999999965</v>
      </c>
      <c r="D7" s="36">
        <f t="shared" ref="D7:D20" si="2">-3.535+0.03205*$A7+0.694*$D$5-0.00008*$A7^2-0.0514*$D$5^2-0.00077*$A7*$D$5</f>
        <v>1.0299999999999996</v>
      </c>
      <c r="E7" s="36">
        <f t="shared" ref="E7:E20" si="3">-3.535+0.03205*$A7+0.694*$E$5-0.00008*$A7^2-0.0514*$E$5^2-0.00077*$A7*$E$5</f>
        <v>1.0507999999999997</v>
      </c>
      <c r="F7" s="36">
        <f t="shared" ref="F7:F20" si="4">-3.535+0.03205*$A7+0.694*$F$5-0.00008*$A7^2-0.0514*$F$5^2-0.00077*$A7*$F$5</f>
        <v>0.968799999999999</v>
      </c>
      <c r="G7" s="36">
        <f t="shared" ref="G7:G20" si="5">-3.535+0.03205*$A7+0.694*$G$5-0.00008*$A7^2-0.0514*$G$5^2-0.00077*$A7*$G$5</f>
        <v>0.78399999999999992</v>
      </c>
      <c r="H7" s="36">
        <f t="shared" ref="H7:H20" si="6">-3.535+0.03205*$A7+0.694*$H$5-0.00008*$A7^2-0.0514*$H$5^2-0.00077*$A7*$H$5</f>
        <v>0.53633983999999957</v>
      </c>
    </row>
    <row r="8" spans="1:28">
      <c r="A8" s="44">
        <v>150</v>
      </c>
      <c r="B8" s="36">
        <f t="shared" si="0"/>
        <v>0.82180399999999976</v>
      </c>
      <c r="C8" s="36">
        <f t="shared" si="1"/>
        <v>0.96409999999999996</v>
      </c>
      <c r="D8" s="36">
        <f t="shared" si="2"/>
        <v>1.0799999999999998</v>
      </c>
      <c r="E8" s="36">
        <f t="shared" si="3"/>
        <v>1.0930999999999997</v>
      </c>
      <c r="F8" s="36">
        <f t="shared" si="4"/>
        <v>1.0033999999999996</v>
      </c>
      <c r="G8" s="36">
        <f t="shared" si="5"/>
        <v>0.81089999999999973</v>
      </c>
      <c r="H8" s="36">
        <f t="shared" si="6"/>
        <v>0.55646383999999927</v>
      </c>
    </row>
    <row r="9" spans="1:28">
      <c r="A9" s="44">
        <v>160</v>
      </c>
      <c r="B9" s="36">
        <f t="shared" si="0"/>
        <v>0.8688939999999995</v>
      </c>
      <c r="C9" s="36">
        <f t="shared" si="1"/>
        <v>1.0057999999999998</v>
      </c>
      <c r="D9" s="36">
        <f t="shared" si="2"/>
        <v>1.1139999999999994</v>
      </c>
      <c r="E9" s="36">
        <f t="shared" si="3"/>
        <v>1.1193999999999997</v>
      </c>
      <c r="F9" s="36">
        <f t="shared" si="4"/>
        <v>1.0219999999999994</v>
      </c>
      <c r="G9" s="36">
        <f t="shared" si="5"/>
        <v>0.82179999999999953</v>
      </c>
      <c r="H9" s="36">
        <f t="shared" si="6"/>
        <v>0.56058783999999906</v>
      </c>
    </row>
    <row r="10" spans="1:28">
      <c r="A10" s="44">
        <v>170</v>
      </c>
      <c r="B10" s="36">
        <f t="shared" si="0"/>
        <v>0.89998399999999923</v>
      </c>
      <c r="C10" s="36">
        <f t="shared" si="1"/>
        <v>1.0314999999999994</v>
      </c>
      <c r="D10" s="36">
        <f t="shared" si="2"/>
        <v>1.1319999999999992</v>
      </c>
      <c r="E10" s="36">
        <f t="shared" si="3"/>
        <v>1.1296999999999995</v>
      </c>
      <c r="F10" s="36">
        <f t="shared" si="4"/>
        <v>1.0245999999999993</v>
      </c>
      <c r="G10" s="36">
        <f t="shared" si="5"/>
        <v>0.81669999999999932</v>
      </c>
      <c r="H10" s="36">
        <f t="shared" si="6"/>
        <v>0.54871183999999795</v>
      </c>
    </row>
    <row r="11" spans="1:28">
      <c r="A11" s="44">
        <v>180</v>
      </c>
      <c r="B11" s="36">
        <f t="shared" si="0"/>
        <v>0.9150739999999995</v>
      </c>
      <c r="C11" s="36">
        <f t="shared" si="1"/>
        <v>1.0411999999999997</v>
      </c>
      <c r="D11" s="36">
        <f t="shared" si="2"/>
        <v>1.1339999999999995</v>
      </c>
      <c r="E11" s="36">
        <f t="shared" si="3"/>
        <v>1.1239999999999997</v>
      </c>
      <c r="F11" s="36">
        <f t="shared" si="4"/>
        <v>1.0111999999999999</v>
      </c>
      <c r="G11" s="36">
        <f t="shared" si="5"/>
        <v>0.79559999999999897</v>
      </c>
      <c r="H11" s="36">
        <f t="shared" si="6"/>
        <v>0.52083583999999861</v>
      </c>
    </row>
    <row r="12" spans="1:28">
      <c r="A12" s="44">
        <v>190</v>
      </c>
      <c r="B12" s="36">
        <f t="shared" si="0"/>
        <v>0.9141639999999992</v>
      </c>
      <c r="C12" s="36">
        <f t="shared" si="1"/>
        <v>1.0348999999999995</v>
      </c>
      <c r="D12" s="36">
        <f t="shared" si="2"/>
        <v>1.1199999999999992</v>
      </c>
      <c r="E12" s="36">
        <f t="shared" si="3"/>
        <v>1.1022999999999994</v>
      </c>
      <c r="F12" s="36">
        <f t="shared" si="4"/>
        <v>0.98179999999999978</v>
      </c>
      <c r="G12" s="36">
        <f t="shared" si="5"/>
        <v>0.75850000000000062</v>
      </c>
      <c r="H12" s="36">
        <f t="shared" si="6"/>
        <v>0.47695984000000013</v>
      </c>
    </row>
    <row r="13" spans="1:28">
      <c r="A13" s="44">
        <v>200</v>
      </c>
      <c r="B13" s="36">
        <f t="shared" si="0"/>
        <v>0.89725399999999933</v>
      </c>
      <c r="C13" s="36">
        <f t="shared" si="1"/>
        <v>1.0125999999999995</v>
      </c>
      <c r="D13" s="36">
        <f t="shared" si="2"/>
        <v>1.0899999999999994</v>
      </c>
      <c r="E13" s="36">
        <f t="shared" si="3"/>
        <v>1.0645999999999995</v>
      </c>
      <c r="F13" s="36">
        <f t="shared" si="4"/>
        <v>0.93639999999999923</v>
      </c>
      <c r="G13" s="36">
        <f t="shared" si="5"/>
        <v>0.70539999999999936</v>
      </c>
      <c r="H13" s="36">
        <f t="shared" si="6"/>
        <v>0.41708383999999898</v>
      </c>
    </row>
    <row r="14" spans="1:28">
      <c r="A14" s="44">
        <v>210</v>
      </c>
      <c r="B14" s="36">
        <f t="shared" si="0"/>
        <v>0.86434399999999911</v>
      </c>
      <c r="C14" s="36">
        <f t="shared" si="1"/>
        <v>0.97429999999999939</v>
      </c>
      <c r="D14" s="36">
        <f t="shared" si="2"/>
        <v>1.0439999999999992</v>
      </c>
      <c r="E14" s="36">
        <f t="shared" si="3"/>
        <v>1.0108999999999992</v>
      </c>
      <c r="F14" s="36">
        <f t="shared" si="4"/>
        <v>0.87499999999999911</v>
      </c>
      <c r="G14" s="36">
        <f t="shared" si="5"/>
        <v>0.63629999999999831</v>
      </c>
      <c r="H14" s="36">
        <f t="shared" si="6"/>
        <v>0.34120783999999782</v>
      </c>
    </row>
    <row r="15" spans="1:28">
      <c r="A15" s="44">
        <v>220</v>
      </c>
      <c r="B15" s="36">
        <f t="shared" si="0"/>
        <v>0.81543399999999922</v>
      </c>
      <c r="C15" s="36">
        <f t="shared" si="1"/>
        <v>0.91999999999999948</v>
      </c>
      <c r="D15" s="36">
        <f t="shared" si="2"/>
        <v>0.98199999999999932</v>
      </c>
      <c r="E15" s="36">
        <f t="shared" si="3"/>
        <v>0.94119999999999937</v>
      </c>
      <c r="F15" s="36">
        <f t="shared" si="4"/>
        <v>0.79759999999999875</v>
      </c>
      <c r="G15" s="36">
        <f t="shared" si="5"/>
        <v>0.55119999999999969</v>
      </c>
      <c r="H15" s="36">
        <f t="shared" si="6"/>
        <v>0.24933183999999931</v>
      </c>
    </row>
    <row r="16" spans="1:28">
      <c r="A16" s="44">
        <v>230</v>
      </c>
      <c r="B16" s="36">
        <f t="shared" si="0"/>
        <v>0.75052399999999941</v>
      </c>
      <c r="C16" s="36">
        <f t="shared" si="1"/>
        <v>0.84969999999999968</v>
      </c>
      <c r="D16" s="36">
        <f t="shared" si="2"/>
        <v>0.90399999999999947</v>
      </c>
      <c r="E16" s="36">
        <f t="shared" si="3"/>
        <v>0.85549999999999882</v>
      </c>
      <c r="F16" s="36">
        <f t="shared" si="4"/>
        <v>0.70419999999999949</v>
      </c>
      <c r="G16" s="36">
        <f t="shared" si="5"/>
        <v>0.45010000000000039</v>
      </c>
      <c r="H16" s="36">
        <f t="shared" si="6"/>
        <v>0.14145583999999989</v>
      </c>
    </row>
    <row r="17" spans="1:9">
      <c r="A17" s="44">
        <v>240</v>
      </c>
      <c r="B17" s="36">
        <f t="shared" si="0"/>
        <v>0.66961399999999904</v>
      </c>
      <c r="C17" s="36">
        <f t="shared" si="1"/>
        <v>0.7633999999999993</v>
      </c>
      <c r="D17" s="36">
        <f t="shared" si="2"/>
        <v>0.80999999999999917</v>
      </c>
      <c r="E17" s="36">
        <f t="shared" si="3"/>
        <v>0.75379999999999914</v>
      </c>
      <c r="F17" s="36">
        <f t="shared" si="4"/>
        <v>0.5948</v>
      </c>
      <c r="G17" s="36">
        <f t="shared" si="5"/>
        <v>0.33299999999999907</v>
      </c>
      <c r="H17" s="36">
        <f t="shared" si="6"/>
        <v>1.7579839999998681E-2</v>
      </c>
    </row>
    <row r="18" spans="1:9">
      <c r="A18" s="44">
        <v>250</v>
      </c>
      <c r="B18" s="36">
        <f t="shared" si="0"/>
        <v>0.57270400000000055</v>
      </c>
      <c r="C18" s="36">
        <f t="shared" si="1"/>
        <v>0.6611000000000008</v>
      </c>
      <c r="D18" s="36">
        <f t="shared" si="2"/>
        <v>0.70000000000000062</v>
      </c>
      <c r="E18" s="36">
        <f t="shared" si="3"/>
        <v>0.63610000000000078</v>
      </c>
      <c r="F18" s="36">
        <f t="shared" si="4"/>
        <v>0.4693999999999996</v>
      </c>
      <c r="G18" s="36">
        <f t="shared" si="5"/>
        <v>0.19990000000000063</v>
      </c>
      <c r="H18" s="93">
        <f t="shared" si="6"/>
        <v>-0.12229615999999988</v>
      </c>
    </row>
    <row r="19" spans="1:9">
      <c r="A19" s="44">
        <v>260</v>
      </c>
      <c r="B19" s="36">
        <f t="shared" si="0"/>
        <v>0.45979399999999926</v>
      </c>
      <c r="C19" s="36">
        <f t="shared" si="1"/>
        <v>0.54279999999999951</v>
      </c>
      <c r="D19" s="36">
        <f t="shared" si="2"/>
        <v>0.57400000000000029</v>
      </c>
      <c r="E19" s="36">
        <f t="shared" si="3"/>
        <v>0.50239999999999929</v>
      </c>
      <c r="F19" s="36">
        <f t="shared" si="4"/>
        <v>0.32799999999999829</v>
      </c>
      <c r="G19" s="36">
        <f t="shared" si="5"/>
        <v>5.079999999999929E-2</v>
      </c>
      <c r="H19" s="93">
        <f t="shared" si="6"/>
        <v>-0.27817216000000111</v>
      </c>
    </row>
    <row r="20" spans="1:9" ht="15.75" thickBot="1">
      <c r="A20" s="46">
        <v>270</v>
      </c>
      <c r="B20" s="36">
        <f t="shared" si="0"/>
        <v>0.33088399999999973</v>
      </c>
      <c r="C20" s="36">
        <f t="shared" si="1"/>
        <v>0.40849999999999997</v>
      </c>
      <c r="D20" s="36">
        <f t="shared" si="2"/>
        <v>0.43199999999999883</v>
      </c>
      <c r="E20" s="36">
        <f t="shared" si="3"/>
        <v>0.35269999999999979</v>
      </c>
      <c r="F20" s="36">
        <f t="shared" si="4"/>
        <v>0.17060000000000053</v>
      </c>
      <c r="G20" s="93">
        <f t="shared" si="5"/>
        <v>-0.11430000000000029</v>
      </c>
      <c r="H20" s="93">
        <f t="shared" si="6"/>
        <v>-0.45004816000000081</v>
      </c>
      <c r="I20" s="94"/>
    </row>
    <row r="22" spans="1:9" ht="15.75" thickBot="1"/>
    <row r="23" spans="1:9">
      <c r="A23" s="41" t="s">
        <v>3</v>
      </c>
      <c r="B23" s="23"/>
      <c r="C23" s="23"/>
      <c r="D23" s="23"/>
      <c r="E23" s="23"/>
      <c r="F23" s="23"/>
      <c r="G23" s="23"/>
      <c r="H23" s="24"/>
    </row>
    <row r="24" spans="1:9">
      <c r="A24" s="25"/>
      <c r="B24" s="18">
        <v>130</v>
      </c>
      <c r="C24" s="18">
        <v>150</v>
      </c>
      <c r="D24" s="18">
        <v>180</v>
      </c>
      <c r="E24" s="18">
        <v>200</v>
      </c>
      <c r="F24" s="18">
        <v>230</v>
      </c>
      <c r="G24" s="18">
        <v>260</v>
      </c>
      <c r="H24" s="49">
        <v>270</v>
      </c>
    </row>
    <row r="25" spans="1:9">
      <c r="A25" s="44">
        <v>3.3</v>
      </c>
      <c r="B25" s="36">
        <f>-3.535+0.03205*$B$24+0.694*$A25-0.00008*$B$24^2-0.0514*$A25^2-0.00077*$B$24*$A25</f>
        <v>0.67962399999999956</v>
      </c>
      <c r="C25" s="36">
        <f>-3.535+0.03205*$C$24+0.694*$A25-0.00008*$C$24^2-0.0514*$A25^2-0.00077*$C$24*$A25</f>
        <v>0.82180399999999976</v>
      </c>
      <c r="D25" s="36">
        <f>-3.535+0.03205*$D$24+0.694*$A25-0.00008*$D$24^2-0.0514*$A25^2-0.00077*$D$24*$A25</f>
        <v>0.9150739999999995</v>
      </c>
      <c r="E25" s="36">
        <f>-3.535+0.03205*$E$24+0.694*$A25-0.00008*$E$24^2-0.0514*$A25^2-0.00077*$E$24*$A25</f>
        <v>0.89725399999999933</v>
      </c>
      <c r="F25" s="36">
        <f>-3.535+0.03205*$F$24+0.694*$A25-0.00008*$F$24^2-0.0514*$A25^2-0.00077*$F$24*$A25</f>
        <v>0.75052399999999941</v>
      </c>
      <c r="G25" s="36">
        <f>-3.535+0.03205*$G$24+0.694*$A25-0.00008*$G$24^2-0.0514*$A25^2-0.00077*$G$24*$A25</f>
        <v>0.45979399999999926</v>
      </c>
      <c r="H25" s="36">
        <f>-3.535+0.03205*$H$24+0.694*$A25-0.00008*$H$24^2-0.0514*$A25^2-0.00077*$H$24*$A25</f>
        <v>0.33088399999999973</v>
      </c>
    </row>
    <row r="26" spans="1:9">
      <c r="A26" s="44">
        <v>4</v>
      </c>
      <c r="B26" s="36">
        <f t="shared" ref="B26:B35" si="7">-3.535+0.03205*$B$24+0.694*$A26-0.00008*$B$24^2-0.0514*$A26^2-0.00077*$B$24*$A26</f>
        <v>0.83269999999999944</v>
      </c>
      <c r="C26" s="36">
        <f t="shared" ref="C26:C35" si="8">-3.535+0.03205*$C$24+0.694*$A26-0.00008*$C$24^2-0.0514*$A26^2-0.00077*$C$24*$A26</f>
        <v>0.96409999999999996</v>
      </c>
      <c r="D26" s="36">
        <f t="shared" ref="D26:D35" si="9">-3.535+0.03205*$D$24+0.694*$A26-0.00008*$D$24^2-0.0514*$A26^2-0.00077*$D$24*$A26</f>
        <v>1.0411999999999997</v>
      </c>
      <c r="E26" s="36">
        <f t="shared" ref="E26:E35" si="10">-3.535+0.03205*$E$24+0.694*$A26-0.00008*$E$24^2-0.0514*$A26^2-0.00077*$E$24*$A26</f>
        <v>1.0125999999999995</v>
      </c>
      <c r="F26" s="36">
        <f t="shared" ref="F26:F35" si="11">-3.535+0.03205*$F$24+0.694*$A26-0.00008*$F$24^2-0.0514*$A26^2-0.00077*$F$24*$A26</f>
        <v>0.84969999999999968</v>
      </c>
      <c r="G26" s="36">
        <f t="shared" ref="G26:G35" si="12">-3.535+0.03205*$G$24+0.694*$A26-0.00008*$G$24^2-0.0514*$A26^2-0.00077*$G$24*$A26</f>
        <v>0.54279999999999951</v>
      </c>
      <c r="H26" s="36">
        <f t="shared" ref="H26:H35" si="13">-3.535+0.03205*$H$24+0.694*$A26-0.00008*$H$24^2-0.0514*$A26^2-0.00077*$H$24*$A26</f>
        <v>0.40849999999999997</v>
      </c>
    </row>
    <row r="27" spans="1:9">
      <c r="A27" s="44">
        <v>4.5</v>
      </c>
      <c r="B27" s="36">
        <f t="shared" si="7"/>
        <v>0.91119999999999979</v>
      </c>
      <c r="C27" s="36">
        <f t="shared" si="8"/>
        <v>1.0349000000000004</v>
      </c>
      <c r="D27" s="36">
        <f t="shared" si="9"/>
        <v>1.100449999999999</v>
      </c>
      <c r="E27" s="36">
        <f t="shared" si="10"/>
        <v>1.0641499999999993</v>
      </c>
      <c r="F27" s="36">
        <f t="shared" si="11"/>
        <v>0.88970000000000005</v>
      </c>
      <c r="G27" s="36">
        <f t="shared" si="12"/>
        <v>0.57124999999999904</v>
      </c>
      <c r="H27" s="36">
        <f t="shared" si="13"/>
        <v>0.43309999999999949</v>
      </c>
    </row>
    <row r="28" spans="1:9">
      <c r="A28" s="44">
        <v>5</v>
      </c>
      <c r="B28" s="36">
        <f t="shared" si="7"/>
        <v>0.9639999999999993</v>
      </c>
      <c r="C28" s="36">
        <f t="shared" si="8"/>
        <v>1.0799999999999998</v>
      </c>
      <c r="D28" s="36">
        <f t="shared" si="9"/>
        <v>1.1339999999999995</v>
      </c>
      <c r="E28" s="36">
        <f t="shared" si="10"/>
        <v>1.0899999999999994</v>
      </c>
      <c r="F28" s="36">
        <f t="shared" si="11"/>
        <v>0.90399999999999947</v>
      </c>
      <c r="G28" s="36">
        <f t="shared" si="12"/>
        <v>0.57400000000000029</v>
      </c>
      <c r="H28" s="36">
        <f t="shared" si="13"/>
        <v>0.43199999999999883</v>
      </c>
    </row>
    <row r="29" spans="1:9">
      <c r="A29" s="44">
        <v>5.5</v>
      </c>
      <c r="B29" s="36">
        <f t="shared" si="7"/>
        <v>0.99109999999999887</v>
      </c>
      <c r="C29" s="36">
        <f t="shared" si="8"/>
        <v>1.0993999999999993</v>
      </c>
      <c r="D29" s="36">
        <f t="shared" si="9"/>
        <v>1.14185</v>
      </c>
      <c r="E29" s="36">
        <f t="shared" si="10"/>
        <v>1.09015</v>
      </c>
      <c r="F29" s="36">
        <f t="shared" si="11"/>
        <v>0.89259999999999917</v>
      </c>
      <c r="G29" s="36">
        <f t="shared" si="12"/>
        <v>0.55104999999999982</v>
      </c>
      <c r="H29" s="36">
        <f t="shared" si="13"/>
        <v>0.40520000000000023</v>
      </c>
    </row>
    <row r="30" spans="1:9">
      <c r="A30" s="44">
        <v>6</v>
      </c>
      <c r="B30" s="36">
        <f t="shared" si="7"/>
        <v>0.99249999999999927</v>
      </c>
      <c r="C30" s="36">
        <f t="shared" si="8"/>
        <v>1.0930999999999997</v>
      </c>
      <c r="D30" s="36">
        <f t="shared" si="9"/>
        <v>1.1239999999999997</v>
      </c>
      <c r="E30" s="36">
        <f t="shared" si="10"/>
        <v>1.0645999999999995</v>
      </c>
      <c r="F30" s="36">
        <f t="shared" si="11"/>
        <v>0.85549999999999882</v>
      </c>
      <c r="G30" s="36">
        <f t="shared" si="12"/>
        <v>0.50239999999999929</v>
      </c>
      <c r="H30" s="36">
        <f t="shared" si="13"/>
        <v>0.35269999999999979</v>
      </c>
    </row>
    <row r="31" spans="1:9">
      <c r="A31" s="44">
        <v>6.5</v>
      </c>
      <c r="B31" s="36">
        <f t="shared" si="7"/>
        <v>0.96819999999999884</v>
      </c>
      <c r="C31" s="36">
        <f t="shared" si="8"/>
        <v>1.0610999999999993</v>
      </c>
      <c r="D31" s="36">
        <f t="shared" si="9"/>
        <v>1.0804499999999986</v>
      </c>
      <c r="E31" s="36">
        <f t="shared" si="10"/>
        <v>1.0133499999999991</v>
      </c>
      <c r="F31" s="36">
        <f t="shared" si="11"/>
        <v>0.79269999999999996</v>
      </c>
      <c r="G31" s="36">
        <f t="shared" si="12"/>
        <v>0.42804999999999893</v>
      </c>
      <c r="H31" s="36">
        <f t="shared" si="13"/>
        <v>0.2744999999999993</v>
      </c>
    </row>
    <row r="32" spans="1:9">
      <c r="A32" s="44">
        <v>7</v>
      </c>
      <c r="B32" s="36">
        <f t="shared" si="7"/>
        <v>0.91819999999999913</v>
      </c>
      <c r="C32" s="36">
        <f t="shared" si="8"/>
        <v>1.0033999999999996</v>
      </c>
      <c r="D32" s="36">
        <f t="shared" si="9"/>
        <v>1.0111999999999999</v>
      </c>
      <c r="E32" s="36">
        <f t="shared" si="10"/>
        <v>0.93639999999999923</v>
      </c>
      <c r="F32" s="36">
        <f t="shared" si="11"/>
        <v>0.70419999999999949</v>
      </c>
      <c r="G32" s="36">
        <f t="shared" si="12"/>
        <v>0.32799999999999829</v>
      </c>
      <c r="H32" s="36">
        <f t="shared" si="13"/>
        <v>0.17060000000000053</v>
      </c>
    </row>
    <row r="33" spans="1:27">
      <c r="A33" s="44">
        <v>7.5</v>
      </c>
      <c r="B33" s="36">
        <f t="shared" si="7"/>
        <v>0.84249999999999992</v>
      </c>
      <c r="C33" s="36">
        <f t="shared" si="8"/>
        <v>0.92000000000000037</v>
      </c>
      <c r="D33" s="36">
        <f t="shared" si="9"/>
        <v>0.91624999999999956</v>
      </c>
      <c r="E33" s="36">
        <f t="shared" si="10"/>
        <v>0.83374999999999999</v>
      </c>
      <c r="F33" s="36">
        <f t="shared" si="11"/>
        <v>0.58999999999999919</v>
      </c>
      <c r="G33" s="36">
        <f t="shared" si="12"/>
        <v>0.20225000000000004</v>
      </c>
      <c r="H33" s="36">
        <f t="shared" si="13"/>
        <v>4.1000000000000369E-2</v>
      </c>
    </row>
    <row r="34" spans="1:27">
      <c r="A34" s="44">
        <v>8</v>
      </c>
      <c r="B34" s="36">
        <f t="shared" si="7"/>
        <v>0.7410999999999992</v>
      </c>
      <c r="C34" s="36">
        <f t="shared" si="8"/>
        <v>0.81089999999999973</v>
      </c>
      <c r="D34" s="36">
        <f t="shared" si="9"/>
        <v>0.79559999999999897</v>
      </c>
      <c r="E34" s="36">
        <f t="shared" si="10"/>
        <v>0.70539999999999936</v>
      </c>
      <c r="F34" s="36">
        <f t="shared" si="11"/>
        <v>0.45010000000000039</v>
      </c>
      <c r="G34" s="36">
        <f t="shared" si="12"/>
        <v>5.079999999999929E-2</v>
      </c>
      <c r="H34" s="36">
        <f t="shared" si="13"/>
        <v>-0.11430000000000029</v>
      </c>
    </row>
    <row r="35" spans="1:27" ht="15.75" thickBot="1">
      <c r="A35" s="46">
        <v>8.8000000000000007</v>
      </c>
      <c r="B35" s="36">
        <f t="shared" si="7"/>
        <v>0.52540399999999854</v>
      </c>
      <c r="C35" s="36">
        <f t="shared" si="8"/>
        <v>0.58288399999999907</v>
      </c>
      <c r="D35" s="36">
        <f t="shared" si="9"/>
        <v>0.54910399999999915</v>
      </c>
      <c r="E35" s="36">
        <f t="shared" si="10"/>
        <v>0.44658399999999765</v>
      </c>
      <c r="F35" s="36">
        <f t="shared" si="11"/>
        <v>0.17280399999999885</v>
      </c>
      <c r="G35" s="36">
        <f t="shared" si="12"/>
        <v>-0.24497600000000053</v>
      </c>
      <c r="H35" s="36">
        <f t="shared" si="13"/>
        <v>-0.41623600000000205</v>
      </c>
    </row>
    <row r="37" spans="1:27">
      <c r="B37" s="110" t="s">
        <v>83</v>
      </c>
      <c r="C37" s="110"/>
      <c r="D37" s="50" t="s">
        <v>106</v>
      </c>
    </row>
    <row r="38" spans="1:27" ht="31.5">
      <c r="B38" s="37" t="s">
        <v>84</v>
      </c>
      <c r="C38" s="37" t="s">
        <v>85</v>
      </c>
      <c r="D38" s="2"/>
      <c r="P38" s="77" t="s">
        <v>58</v>
      </c>
    </row>
    <row r="39" spans="1:27" ht="15.75" thickBot="1">
      <c r="B39" s="51">
        <v>1674</v>
      </c>
      <c r="C39" s="51">
        <f>B39/((PI()*0.05^2)/4)</f>
        <v>852561.19915466488</v>
      </c>
      <c r="D39" s="2">
        <v>963400</v>
      </c>
      <c r="E39">
        <f>ABS((C39-D39)/C39)*100</f>
        <v>13.000685576030726</v>
      </c>
      <c r="F39" s="32">
        <f>C39/(1*10^6)</f>
        <v>0.85256119915466488</v>
      </c>
      <c r="G39" s="36">
        <f>-3.535+0.03205*L43+0.694*K43-0.00008*L43^2-0.0514*K43^2-0.00077*L43*K43</f>
        <v>0.96409999999999996</v>
      </c>
      <c r="H39">
        <f>ABS((F39-G39)*100)</f>
        <v>11.153880084533508</v>
      </c>
    </row>
    <row r="40" spans="1:27" ht="21.75" thickBot="1">
      <c r="B40" s="51">
        <v>988</v>
      </c>
      <c r="C40" s="51">
        <f t="shared" ref="C40:C49" si="14">B40/((PI()*0.05^2)/4)</f>
        <v>503184.26807933627</v>
      </c>
      <c r="D40" s="2">
        <v>652200</v>
      </c>
      <c r="E40">
        <f t="shared" ref="E40:E49" si="15">ABS((C40-D40)/C40)*100</f>
        <v>29.614545082949345</v>
      </c>
      <c r="F40" s="32">
        <f t="shared" ref="F40:F49" si="16">C40/(1*10^6)</f>
        <v>0.50318426807933625</v>
      </c>
      <c r="G40" s="36">
        <f t="shared" ref="G40:G49" si="17">-3.535+0.03205*L44+0.694*K44-0.00008*L44^2-0.0514*K44^2-0.00077*L44*K44</f>
        <v>0.6611000000000008</v>
      </c>
      <c r="H40">
        <f t="shared" ref="H40:H49" si="18">ABS((F40-G40)*100)</f>
        <v>15.791573192066455</v>
      </c>
      <c r="J40" s="5"/>
      <c r="K40" s="70"/>
      <c r="L40" s="71"/>
      <c r="M40" s="102" t="s">
        <v>98</v>
      </c>
      <c r="N40" s="103"/>
      <c r="O40" s="104"/>
      <c r="P40" s="105" t="s">
        <v>27</v>
      </c>
      <c r="Q40" s="106"/>
      <c r="R40" s="106"/>
      <c r="S40" s="106"/>
      <c r="T40" s="106"/>
      <c r="U40" s="106"/>
      <c r="V40" s="107"/>
      <c r="W40" s="108" t="s">
        <v>97</v>
      </c>
      <c r="X40" s="108"/>
      <c r="Y40" s="109"/>
      <c r="Z40" s="100" t="s">
        <v>96</v>
      </c>
      <c r="AA40" s="101"/>
    </row>
    <row r="41" spans="1:27">
      <c r="B41" s="51">
        <v>1803</v>
      </c>
      <c r="C41" s="51">
        <f t="shared" si="14"/>
        <v>918260.35966299928</v>
      </c>
      <c r="D41" s="2">
        <v>808200</v>
      </c>
      <c r="E41">
        <f t="shared" si="15"/>
        <v>11.98574658100142</v>
      </c>
      <c r="F41" s="32">
        <f t="shared" si="16"/>
        <v>0.91826035966299924</v>
      </c>
      <c r="G41" s="36">
        <f t="shared" si="17"/>
        <v>0.81089999999999973</v>
      </c>
      <c r="H41">
        <f t="shared" si="18"/>
        <v>10.736035966299951</v>
      </c>
      <c r="J41" s="66" t="s">
        <v>94</v>
      </c>
      <c r="K41" s="42"/>
      <c r="L41" s="43"/>
      <c r="M41" s="63"/>
      <c r="N41" s="37" t="s">
        <v>26</v>
      </c>
      <c r="O41" s="43" t="s">
        <v>37</v>
      </c>
      <c r="P41" s="63" t="s">
        <v>26</v>
      </c>
      <c r="Q41" s="42" t="s">
        <v>38</v>
      </c>
      <c r="R41" s="42" t="s">
        <v>43</v>
      </c>
      <c r="S41" s="42" t="s">
        <v>44</v>
      </c>
      <c r="T41" s="42" t="s">
        <v>42</v>
      </c>
      <c r="U41" s="42" t="s">
        <v>28</v>
      </c>
      <c r="V41" s="43" t="s">
        <v>82</v>
      </c>
      <c r="W41" s="64" t="s">
        <v>25</v>
      </c>
      <c r="X41" s="37" t="s">
        <v>26</v>
      </c>
      <c r="Y41" s="60"/>
      <c r="Z41" s="59"/>
      <c r="AA41" s="60"/>
    </row>
    <row r="42" spans="1:27">
      <c r="B42" s="51">
        <v>515.29999999999995</v>
      </c>
      <c r="C42" s="51">
        <f t="shared" si="14"/>
        <v>262440.1349608117</v>
      </c>
      <c r="D42" s="2">
        <v>190600</v>
      </c>
      <c r="E42">
        <f t="shared" si="15"/>
        <v>27.373913281800082</v>
      </c>
      <c r="F42" s="32">
        <f t="shared" si="16"/>
        <v>0.2624401349608117</v>
      </c>
      <c r="G42" s="36">
        <f t="shared" si="17"/>
        <v>0.19990000000000063</v>
      </c>
      <c r="H42">
        <f t="shared" si="18"/>
        <v>6.2540134960811065</v>
      </c>
      <c r="J42" s="67" t="s">
        <v>95</v>
      </c>
      <c r="K42" s="37" t="s">
        <v>39</v>
      </c>
      <c r="L42" s="65" t="s">
        <v>40</v>
      </c>
      <c r="M42" s="64" t="s">
        <v>25</v>
      </c>
      <c r="N42" s="75" t="s">
        <v>99</v>
      </c>
      <c r="O42" s="65" t="s">
        <v>24</v>
      </c>
      <c r="P42" s="64"/>
      <c r="Q42" s="37"/>
      <c r="R42" s="37"/>
      <c r="S42" s="37"/>
      <c r="T42" s="37"/>
      <c r="U42" s="37"/>
      <c r="V42" s="35"/>
      <c r="W42" s="2"/>
      <c r="X42" s="2"/>
      <c r="Y42" s="45"/>
      <c r="Z42" s="61"/>
      <c r="AA42" s="45">
        <f>O56-Y56</f>
        <v>97904845785.284332</v>
      </c>
    </row>
    <row r="43" spans="1:27">
      <c r="B43" s="51">
        <v>1938</v>
      </c>
      <c r="C43" s="51">
        <f t="shared" si="14"/>
        <v>987015.29507869808</v>
      </c>
      <c r="D43" s="2">
        <v>999212</v>
      </c>
      <c r="E43">
        <f t="shared" si="15"/>
        <v>1.2357158984379704</v>
      </c>
      <c r="F43" s="32">
        <f t="shared" si="16"/>
        <v>0.98701529507869812</v>
      </c>
      <c r="G43" s="36">
        <f t="shared" si="17"/>
        <v>0.99249999999999927</v>
      </c>
      <c r="H43">
        <f t="shared" si="18"/>
        <v>0.54847049213011534</v>
      </c>
      <c r="J43" s="68">
        <v>852561.199154665</v>
      </c>
      <c r="K43" s="36">
        <v>4</v>
      </c>
      <c r="L43" s="45">
        <v>150</v>
      </c>
      <c r="M43" s="61">
        <v>852561.199154665</v>
      </c>
      <c r="N43" s="36">
        <f>-3.4792*10^6+31280*L43+701600*K43-78.32*L43^2-52125*K43^2-766*L43*K43</f>
        <v>963400</v>
      </c>
      <c r="O43" s="45">
        <f>(M43-N43)^2</f>
        <v>12285239772.831837</v>
      </c>
      <c r="P43" s="61">
        <v>963400</v>
      </c>
      <c r="Q43" s="36">
        <f>-3.4792*10^6+31280*L43+701600*K43</f>
        <v>4019200</v>
      </c>
      <c r="R43" s="36">
        <f>(Q43-U43)^2</f>
        <v>15345559228693.045</v>
      </c>
      <c r="S43" s="36">
        <f>-3.4792*10^6-78.32*L43^2-52125*K43^2-766*K43*L43</f>
        <v>-6535000</v>
      </c>
      <c r="T43" s="36">
        <f>(S43-U43)^2</f>
        <v>44047899557180.062</v>
      </c>
      <c r="U43" s="36">
        <v>101859.16357881298</v>
      </c>
      <c r="V43" s="45">
        <f>-3.4792*10^6+31280*L43+701600*K43-78.32*L43^2-52125*K43^2-766*L43*K43</f>
        <v>963400</v>
      </c>
      <c r="W43" s="61">
        <v>1047112.2015901977</v>
      </c>
      <c r="X43" s="36">
        <f>-3.4792*10^6+31280*$L$51+701600*$K$51-78.32*$L$51^2-52125*K51^2-766*$K$51*$L$51</f>
        <v>1057900.0000000005</v>
      </c>
      <c r="Y43" s="45">
        <f>(W43-X43)^2</f>
        <v>116376594.53054215</v>
      </c>
      <c r="Z43" s="61"/>
      <c r="AA43" s="45"/>
    </row>
    <row r="44" spans="1:27">
      <c r="B44" s="51">
        <v>755</v>
      </c>
      <c r="C44" s="51">
        <f t="shared" si="14"/>
        <v>384518.34251001914</v>
      </c>
      <c r="D44" s="2">
        <v>349052.00000000093</v>
      </c>
      <c r="E44">
        <f t="shared" si="15"/>
        <v>9.2235762482758759</v>
      </c>
      <c r="F44" s="32">
        <f t="shared" si="16"/>
        <v>0.38451834251001915</v>
      </c>
      <c r="G44" s="36">
        <f t="shared" si="17"/>
        <v>0.35269999999999979</v>
      </c>
      <c r="H44">
        <f t="shared" si="18"/>
        <v>3.181834251001936</v>
      </c>
      <c r="J44" s="68">
        <v>503184.26807933627</v>
      </c>
      <c r="K44" s="36">
        <v>4</v>
      </c>
      <c r="L44" s="45">
        <v>250</v>
      </c>
      <c r="M44" s="61">
        <v>503184.26807933627</v>
      </c>
      <c r="N44" s="36">
        <f t="shared" ref="N44:N53" si="19">-3.4792*10^6+31280*L44+701600*K44-78.32*L44^2-52125*K44^2-766*L44*K44</f>
        <v>652200</v>
      </c>
      <c r="O44" s="45">
        <f t="shared" ref="O44:O53" si="20">(M44-N44)^2</f>
        <v>22205688359.85112</v>
      </c>
      <c r="P44" s="61">
        <v>652200</v>
      </c>
      <c r="Q44" s="36">
        <f t="shared" ref="Q44:Q53" si="21">-3.4792*10^6+31280*L44+701600*K44</f>
        <v>7147200</v>
      </c>
      <c r="R44" s="36">
        <f t="shared" ref="R44:R53" si="22">(Q44-U44)^2</f>
        <v>49636827501343.992</v>
      </c>
      <c r="S44" s="36">
        <f t="shared" ref="S44:S53" si="23">-3.4792*10^6-78.32*L44^2-52125*K44^2-766*K44*L44</f>
        <v>-9974200</v>
      </c>
      <c r="T44" s="36">
        <f t="shared" ref="T44:T53" si="24">(S44-U44)^2</f>
        <v>101526968267940.59</v>
      </c>
      <c r="U44" s="36">
        <v>101859.16357881298</v>
      </c>
      <c r="V44" s="45">
        <f t="shared" ref="V44:V53" si="25">-3.4792*10^6+31280*L44+701600*K44-78.32*L44^2-52125*K44^2-766*L44*K44</f>
        <v>652200</v>
      </c>
      <c r="W44" s="61">
        <v>1238098.1333004721</v>
      </c>
      <c r="X44" s="36">
        <f>-3.4792*10^6+31280*$L$51+701600*$K$51-78.32*$L$51^2-52125*K52^2-766*$K$51*$L$51</f>
        <v>1057900.0000000005</v>
      </c>
      <c r="Y44" s="45">
        <f t="shared" ref="Y44:Y45" si="26">(W44-X44)^2</f>
        <v>32471367244.974525</v>
      </c>
      <c r="Z44" s="61"/>
      <c r="AA44" s="45"/>
    </row>
    <row r="45" spans="1:27">
      <c r="B45" s="51">
        <v>2031.3</v>
      </c>
      <c r="C45" s="51">
        <f t="shared" si="14"/>
        <v>1034532.5948882143</v>
      </c>
      <c r="D45" s="2">
        <v>858629.08750000037</v>
      </c>
      <c r="E45">
        <f t="shared" si="15"/>
        <v>17.003186584683782</v>
      </c>
      <c r="F45" s="32">
        <f t="shared" si="16"/>
        <v>1.0345325948882143</v>
      </c>
      <c r="G45" s="36">
        <f t="shared" si="17"/>
        <v>0.87028653999999972</v>
      </c>
      <c r="H45">
        <f t="shared" si="18"/>
        <v>16.424605488821452</v>
      </c>
      <c r="J45" s="68">
        <v>918260.35966299928</v>
      </c>
      <c r="K45" s="36">
        <v>8</v>
      </c>
      <c r="L45" s="45">
        <v>150</v>
      </c>
      <c r="M45" s="61">
        <v>918260.35966299928</v>
      </c>
      <c r="N45" s="36">
        <f t="shared" si="19"/>
        <v>808200</v>
      </c>
      <c r="O45" s="45">
        <f t="shared" si="20"/>
        <v>12113282769.14876</v>
      </c>
      <c r="P45" s="61">
        <v>808200</v>
      </c>
      <c r="Q45" s="36">
        <f t="shared" si="21"/>
        <v>6825600</v>
      </c>
      <c r="R45" s="36">
        <f t="shared" si="22"/>
        <v>45208690835357.883</v>
      </c>
      <c r="S45" s="36">
        <f t="shared" si="23"/>
        <v>-9496600</v>
      </c>
      <c r="T45" s="36">
        <f t="shared" si="24"/>
        <v>92130418314890.109</v>
      </c>
      <c r="U45" s="36">
        <v>101859.16357881298</v>
      </c>
      <c r="V45" s="45">
        <f t="shared" si="25"/>
        <v>808200</v>
      </c>
      <c r="W45" s="61">
        <v>888568.41347977519</v>
      </c>
      <c r="X45" s="36">
        <f>-3.4792*10^6+31280*$L$51+701600*$K$51-78.32*$L$51^2-52125*K53^2-766*$K$51*$L$51</f>
        <v>1057900.0000000005</v>
      </c>
      <c r="Y45" s="45">
        <f t="shared" si="26"/>
        <v>28673186193.456539</v>
      </c>
      <c r="Z45" s="61"/>
      <c r="AA45" s="45"/>
    </row>
    <row r="46" spans="1:27">
      <c r="B46" s="51">
        <v>561.70000000000005</v>
      </c>
      <c r="C46" s="51">
        <f t="shared" si="14"/>
        <v>286071.46091109636</v>
      </c>
      <c r="D46" s="2">
        <v>403506.39999999921</v>
      </c>
      <c r="E46">
        <f t="shared" si="15"/>
        <v>41.050910396615407</v>
      </c>
      <c r="F46" s="32">
        <f t="shared" si="16"/>
        <v>0.28607146091109636</v>
      </c>
      <c r="G46" s="36">
        <f t="shared" si="17"/>
        <v>0.41708383999999898</v>
      </c>
      <c r="H46">
        <f t="shared" si="18"/>
        <v>13.101237908890262</v>
      </c>
      <c r="J46" s="68">
        <v>262440.1349608117</v>
      </c>
      <c r="K46" s="36">
        <v>8</v>
      </c>
      <c r="L46" s="45">
        <v>250</v>
      </c>
      <c r="M46" s="61">
        <v>262440.1349608117</v>
      </c>
      <c r="N46" s="36">
        <f t="shared" si="19"/>
        <v>190600</v>
      </c>
      <c r="O46" s="45">
        <f t="shared" si="20"/>
        <v>5161004991.1876392</v>
      </c>
      <c r="P46" s="61">
        <v>190600</v>
      </c>
      <c r="Q46" s="36">
        <f t="shared" si="21"/>
        <v>9953600</v>
      </c>
      <c r="R46" s="36">
        <f t="shared" si="22"/>
        <v>97056797508008.812</v>
      </c>
      <c r="S46" s="36">
        <f t="shared" si="23"/>
        <v>-13242200</v>
      </c>
      <c r="T46" s="36">
        <f t="shared" si="24"/>
        <v>178063914961091.72</v>
      </c>
      <c r="U46" s="36">
        <v>101859.16357881298</v>
      </c>
      <c r="V46" s="45">
        <f t="shared" si="25"/>
        <v>190600</v>
      </c>
      <c r="W46" s="61"/>
      <c r="X46" s="36"/>
      <c r="Y46" s="45"/>
      <c r="Z46" s="61"/>
      <c r="AA46" s="45"/>
    </row>
    <row r="47" spans="1:27">
      <c r="B47" s="51">
        <v>2056</v>
      </c>
      <c r="C47" s="51">
        <f>B47/((PI()*0.05^2)/4)</f>
        <v>1047112.2015901977</v>
      </c>
      <c r="D47" s="2">
        <v>1057900.0000000005</v>
      </c>
      <c r="E47">
        <f t="shared" si="15"/>
        <v>1.030242832947589</v>
      </c>
      <c r="F47" s="32">
        <f t="shared" si="16"/>
        <v>1.0471122015901977</v>
      </c>
      <c r="G47" s="36">
        <f t="shared" si="17"/>
        <v>1.0645999999999995</v>
      </c>
      <c r="H47">
        <f t="shared" si="18"/>
        <v>1.7487798409801858</v>
      </c>
      <c r="J47" s="68">
        <v>987015.29507869808</v>
      </c>
      <c r="K47" s="36">
        <v>6</v>
      </c>
      <c r="L47" s="45">
        <v>130</v>
      </c>
      <c r="M47" s="61">
        <v>987015.29507869808</v>
      </c>
      <c r="N47" s="36">
        <f t="shared" si="19"/>
        <v>999212</v>
      </c>
      <c r="O47" s="45">
        <f t="shared" si="20"/>
        <v>148759610.93731049</v>
      </c>
      <c r="P47" s="61">
        <v>999212</v>
      </c>
      <c r="Q47" s="36">
        <f t="shared" si="21"/>
        <v>4796800</v>
      </c>
      <c r="R47" s="36">
        <f t="shared" si="22"/>
        <v>22042469457495.273</v>
      </c>
      <c r="S47" s="36">
        <f t="shared" si="23"/>
        <v>-7276788</v>
      </c>
      <c r="T47" s="36">
        <f t="shared" si="24"/>
        <v>54444433964589.664</v>
      </c>
      <c r="U47" s="36">
        <v>101859.16357881298</v>
      </c>
      <c r="V47" s="45">
        <f t="shared" si="25"/>
        <v>999212</v>
      </c>
      <c r="W47" s="61"/>
      <c r="X47" s="36"/>
      <c r="Y47" s="45"/>
      <c r="Z47" s="61"/>
      <c r="AA47" s="45"/>
    </row>
    <row r="48" spans="1:27">
      <c r="B48" s="51">
        <v>2431</v>
      </c>
      <c r="C48" s="51">
        <f t="shared" si="14"/>
        <v>1238098.1333004721</v>
      </c>
      <c r="D48" s="2">
        <v>1057900.0000000005</v>
      </c>
      <c r="E48">
        <f t="shared" si="15"/>
        <v>14.554430578140575</v>
      </c>
      <c r="F48" s="32">
        <f t="shared" si="16"/>
        <v>1.2380981333004721</v>
      </c>
      <c r="G48" s="36">
        <f t="shared" si="17"/>
        <v>1.0645999999999995</v>
      </c>
      <c r="H48">
        <f t="shared" si="18"/>
        <v>17.349813330047258</v>
      </c>
      <c r="J48" s="68">
        <v>384518.34251001914</v>
      </c>
      <c r="K48" s="36">
        <v>6</v>
      </c>
      <c r="L48" s="45">
        <v>270</v>
      </c>
      <c r="M48" s="61">
        <v>384518.34251001914</v>
      </c>
      <c r="N48" s="36">
        <f t="shared" si="19"/>
        <v>349052.00000000093</v>
      </c>
      <c r="O48" s="45">
        <f t="shared" si="20"/>
        <v>1257861451.0379245</v>
      </c>
      <c r="P48" s="61">
        <v>349052.00000000093</v>
      </c>
      <c r="Q48" s="36">
        <f t="shared" si="21"/>
        <v>9176000</v>
      </c>
      <c r="R48" s="36">
        <f t="shared" si="22"/>
        <v>82340031919206.578</v>
      </c>
      <c r="S48" s="36">
        <f t="shared" si="23"/>
        <v>-12306148</v>
      </c>
      <c r="T48" s="36">
        <f t="shared" si="24"/>
        <v>153958641771423.16</v>
      </c>
      <c r="U48" s="36">
        <v>101859.16357881298</v>
      </c>
      <c r="V48" s="45">
        <f t="shared" si="25"/>
        <v>349052.00000000093</v>
      </c>
      <c r="W48" s="61"/>
      <c r="X48" s="36"/>
      <c r="Y48" s="45"/>
      <c r="Z48" s="61"/>
      <c r="AA48" s="45"/>
    </row>
    <row r="49" spans="1:27">
      <c r="B49" s="51">
        <v>1744.6999999999998</v>
      </c>
      <c r="C49" s="51">
        <f t="shared" si="14"/>
        <v>888568.41347977519</v>
      </c>
      <c r="D49" s="2">
        <v>1057900.0000000005</v>
      </c>
      <c r="E49">
        <f t="shared" si="15"/>
        <v>19.056674078374659</v>
      </c>
      <c r="F49" s="32">
        <f t="shared" si="16"/>
        <v>0.88856841347977522</v>
      </c>
      <c r="G49" s="36">
        <f t="shared" si="17"/>
        <v>1.0645999999999995</v>
      </c>
      <c r="H49">
        <f t="shared" si="18"/>
        <v>17.603158652022433</v>
      </c>
      <c r="J49" s="68">
        <v>1034532.5948882143</v>
      </c>
      <c r="K49" s="36">
        <v>3.17</v>
      </c>
      <c r="L49" s="45">
        <v>200</v>
      </c>
      <c r="M49" s="61">
        <v>1034532.5948882143</v>
      </c>
      <c r="N49" s="36">
        <f t="shared" si="19"/>
        <v>858629.08750000037</v>
      </c>
      <c r="O49" s="45">
        <f t="shared" si="20"/>
        <v>30942043911.475414</v>
      </c>
      <c r="P49" s="61">
        <v>858629.08750000037</v>
      </c>
      <c r="Q49" s="36">
        <f t="shared" si="21"/>
        <v>5000872</v>
      </c>
      <c r="R49" s="36">
        <f t="shared" si="22"/>
        <v>24000326771419.562</v>
      </c>
      <c r="S49" s="36">
        <f t="shared" si="23"/>
        <v>-7621442.9124999996</v>
      </c>
      <c r="T49" s="36">
        <f t="shared" si="24"/>
        <v>59649394958363.297</v>
      </c>
      <c r="U49" s="36">
        <v>101859.16357881298</v>
      </c>
      <c r="V49" s="45">
        <f t="shared" si="25"/>
        <v>858629.08750000037</v>
      </c>
      <c r="W49" s="61"/>
      <c r="X49" s="36"/>
      <c r="Y49" s="45"/>
      <c r="Z49" s="61"/>
      <c r="AA49" s="45"/>
    </row>
    <row r="50" spans="1:27">
      <c r="C50" t="s">
        <v>107</v>
      </c>
      <c r="D50">
        <f>AVERAGE(E39:E49)</f>
        <v>16.829966103568857</v>
      </c>
      <c r="H50">
        <f>ABS(AVERAGE(H39:H49))</f>
        <v>10.353945700261333</v>
      </c>
      <c r="J50" s="68">
        <v>286071.46091109636</v>
      </c>
      <c r="K50" s="36">
        <v>8.8800000000000008</v>
      </c>
      <c r="L50" s="45">
        <v>200</v>
      </c>
      <c r="M50" s="61">
        <v>286071.46091109636</v>
      </c>
      <c r="N50" s="36">
        <f t="shared" si="19"/>
        <v>403506.39999999921</v>
      </c>
      <c r="O50" s="45">
        <f t="shared" si="20"/>
        <v>13790964918.814322</v>
      </c>
      <c r="P50" s="61">
        <v>403506.39999999921</v>
      </c>
      <c r="Q50" s="36">
        <f t="shared" si="21"/>
        <v>9007008</v>
      </c>
      <c r="R50" s="36">
        <f t="shared" si="22"/>
        <v>79301675798813.609</v>
      </c>
      <c r="S50" s="36">
        <f t="shared" si="23"/>
        <v>-12082701.600000001</v>
      </c>
      <c r="T50" s="36">
        <f t="shared" si="24"/>
        <v>148463521001344.37</v>
      </c>
      <c r="U50" s="36">
        <v>101859.16357881298</v>
      </c>
      <c r="V50" s="45">
        <f t="shared" si="25"/>
        <v>403506.39999999921</v>
      </c>
      <c r="W50" s="61"/>
      <c r="X50" s="36"/>
      <c r="Y50" s="45"/>
      <c r="Z50" s="61"/>
      <c r="AA50" s="45"/>
    </row>
    <row r="51" spans="1:27">
      <c r="F51" s="32">
        <f>MAX(F39:F49)</f>
        <v>1.2380981333004721</v>
      </c>
      <c r="J51" s="68">
        <v>1047112.2015901977</v>
      </c>
      <c r="K51" s="36">
        <v>6</v>
      </c>
      <c r="L51" s="45">
        <v>200</v>
      </c>
      <c r="M51" s="61">
        <v>1047112.2015901977</v>
      </c>
      <c r="N51" s="36">
        <f t="shared" si="19"/>
        <v>1057900.0000000005</v>
      </c>
      <c r="O51" s="45">
        <f t="shared" si="20"/>
        <v>116376594.53054215</v>
      </c>
      <c r="P51" s="61">
        <v>1057900.0000000005</v>
      </c>
      <c r="Q51" s="36">
        <f t="shared" si="21"/>
        <v>6986400</v>
      </c>
      <c r="R51" s="36">
        <f t="shared" si="22"/>
        <v>47396902528350.937</v>
      </c>
      <c r="S51" s="36">
        <f t="shared" si="23"/>
        <v>-9407700</v>
      </c>
      <c r="T51" s="36">
        <f t="shared" si="24"/>
        <v>90431715485605.797</v>
      </c>
      <c r="U51" s="36">
        <v>101859.16357881298</v>
      </c>
      <c r="V51" s="45">
        <f t="shared" si="25"/>
        <v>1057900.0000000005</v>
      </c>
      <c r="W51" s="61"/>
      <c r="X51" s="36"/>
      <c r="Y51" s="45"/>
      <c r="Z51" s="61"/>
      <c r="AA51" s="45"/>
    </row>
    <row r="52" spans="1:27">
      <c r="J52" s="68">
        <v>1238098.1333004721</v>
      </c>
      <c r="K52" s="36">
        <v>6</v>
      </c>
      <c r="L52" s="45">
        <v>200</v>
      </c>
      <c r="M52" s="61">
        <v>1238098.1333004721</v>
      </c>
      <c r="N52" s="36">
        <f t="shared" si="19"/>
        <v>1057900.0000000005</v>
      </c>
      <c r="O52" s="45">
        <f t="shared" si="20"/>
        <v>32471367244.974525</v>
      </c>
      <c r="P52" s="61">
        <v>1057900.0000000005</v>
      </c>
      <c r="Q52" s="36">
        <f t="shared" si="21"/>
        <v>6986400</v>
      </c>
      <c r="R52" s="36">
        <f t="shared" si="22"/>
        <v>47396902528350.937</v>
      </c>
      <c r="S52" s="36">
        <f t="shared" si="23"/>
        <v>-9407700</v>
      </c>
      <c r="T52" s="36">
        <f t="shared" si="24"/>
        <v>90431715485605.797</v>
      </c>
      <c r="U52" s="36">
        <v>101859.16357881298</v>
      </c>
      <c r="V52" s="45">
        <f t="shared" si="25"/>
        <v>1057900.0000000005</v>
      </c>
      <c r="W52" s="61"/>
      <c r="X52" s="36"/>
      <c r="Y52" s="45"/>
      <c r="Z52" s="61"/>
      <c r="AA52" s="45"/>
    </row>
    <row r="53" spans="1:27">
      <c r="A53" s="55"/>
      <c r="B53" s="55" t="s">
        <v>54</v>
      </c>
      <c r="C53" s="111" t="s">
        <v>55</v>
      </c>
      <c r="D53" s="112"/>
      <c r="E53" s="112"/>
      <c r="F53" s="112"/>
      <c r="G53" s="113"/>
      <c r="J53" s="68">
        <v>888568.41347977519</v>
      </c>
      <c r="K53" s="36">
        <v>6</v>
      </c>
      <c r="L53" s="45">
        <v>200</v>
      </c>
      <c r="M53" s="61">
        <v>888568.41347977519</v>
      </c>
      <c r="N53" s="36">
        <f t="shared" si="19"/>
        <v>1057900.0000000005</v>
      </c>
      <c r="O53" s="45">
        <f t="shared" si="20"/>
        <v>28673186193.456539</v>
      </c>
      <c r="P53" s="61">
        <v>1057900.0000000005</v>
      </c>
      <c r="Q53" s="36">
        <f t="shared" si="21"/>
        <v>6986400</v>
      </c>
      <c r="R53" s="36">
        <f t="shared" si="22"/>
        <v>47396902528350.937</v>
      </c>
      <c r="S53" s="36">
        <f t="shared" si="23"/>
        <v>-9407700</v>
      </c>
      <c r="T53" s="36">
        <f t="shared" si="24"/>
        <v>90431715485605.797</v>
      </c>
      <c r="U53" s="36">
        <v>101859.16357881298</v>
      </c>
      <c r="V53" s="45">
        <f t="shared" si="25"/>
        <v>1057900.0000000005</v>
      </c>
      <c r="W53" s="61"/>
      <c r="X53" s="36"/>
      <c r="Y53" s="45"/>
      <c r="Z53" s="61"/>
      <c r="AA53" s="45"/>
    </row>
    <row r="54" spans="1:27">
      <c r="A54" s="55"/>
      <c r="B54" s="55"/>
      <c r="C54" s="37" t="s">
        <v>87</v>
      </c>
      <c r="D54" s="37" t="s">
        <v>88</v>
      </c>
      <c r="E54" s="37" t="s">
        <v>89</v>
      </c>
      <c r="F54" s="37" t="s">
        <v>56</v>
      </c>
      <c r="G54" s="56" t="s">
        <v>57</v>
      </c>
      <c r="J54" s="68"/>
      <c r="K54" s="36"/>
      <c r="L54" s="45"/>
      <c r="M54" s="61"/>
      <c r="N54" s="36"/>
      <c r="O54" s="45"/>
      <c r="P54" s="61"/>
      <c r="Q54" s="36"/>
      <c r="R54" s="36"/>
      <c r="S54" s="36"/>
      <c r="T54" s="36"/>
      <c r="U54" s="36"/>
      <c r="V54" s="45"/>
      <c r="W54" s="61"/>
      <c r="X54" s="36"/>
      <c r="Y54" s="45"/>
      <c r="Z54" s="61"/>
      <c r="AA54" s="45"/>
    </row>
    <row r="55" spans="1:27">
      <c r="A55" s="55">
        <v>1</v>
      </c>
      <c r="B55" s="55">
        <v>1.6739999999999999</v>
      </c>
      <c r="C55" s="18">
        <f>B55*1000</f>
        <v>1674</v>
      </c>
      <c r="D55" s="36">
        <v>4</v>
      </c>
      <c r="E55" s="36">
        <v>150</v>
      </c>
      <c r="F55" s="36">
        <v>-1</v>
      </c>
      <c r="G55" s="14">
        <v>-1</v>
      </c>
      <c r="I55" s="1" t="s">
        <v>1</v>
      </c>
      <c r="J55" s="68">
        <f>AVERAGE(J43:J53)</f>
        <v>763851.12760148046</v>
      </c>
      <c r="K55" s="36"/>
      <c r="L55" s="45"/>
      <c r="M55" s="61"/>
      <c r="N55" s="36"/>
      <c r="O55" s="45"/>
      <c r="P55" s="61"/>
      <c r="Q55" s="36"/>
      <c r="R55" s="36"/>
      <c r="S55" s="36"/>
      <c r="T55" s="36"/>
      <c r="U55" s="36"/>
      <c r="V55" s="45"/>
      <c r="W55" s="61"/>
      <c r="X55" s="36"/>
      <c r="Y55" s="45"/>
      <c r="Z55" s="61"/>
      <c r="AA55" s="45"/>
    </row>
    <row r="56" spans="1:27" ht="15.75" thickBot="1">
      <c r="A56" s="55">
        <v>2</v>
      </c>
      <c r="B56" s="55">
        <v>0.98799999999999999</v>
      </c>
      <c r="C56" s="18">
        <f t="shared" ref="C56:C65" si="27">B56*1000</f>
        <v>988</v>
      </c>
      <c r="D56" s="36">
        <v>4</v>
      </c>
      <c r="E56" s="36">
        <v>250</v>
      </c>
      <c r="F56" s="36">
        <v>-1</v>
      </c>
      <c r="G56" s="14">
        <v>1</v>
      </c>
      <c r="J56" s="69"/>
      <c r="K56" s="47"/>
      <c r="L56" s="48"/>
      <c r="M56" s="62"/>
      <c r="N56" s="72" t="s">
        <v>41</v>
      </c>
      <c r="O56" s="73">
        <f>SUM(O43:O55)</f>
        <v>159165775818.24594</v>
      </c>
      <c r="P56" s="74"/>
      <c r="Q56" s="72" t="s">
        <v>41</v>
      </c>
      <c r="R56" s="72">
        <f>SUM(R43:R55)</f>
        <v>557123086605391.62</v>
      </c>
      <c r="S56" s="72" t="s">
        <v>45</v>
      </c>
      <c r="T56" s="72">
        <f>SUM(T43:T55)</f>
        <v>1103580339253640.2</v>
      </c>
      <c r="U56" s="72">
        <f>(P43-U43)^2</f>
        <v>742252612821.3186</v>
      </c>
      <c r="V56" s="73"/>
      <c r="W56" s="74"/>
      <c r="X56" s="72" t="s">
        <v>45</v>
      </c>
      <c r="Y56" s="73">
        <f>SUM(Y43:Y45)</f>
        <v>61260930032.961609</v>
      </c>
      <c r="Z56" s="72" t="s">
        <v>45</v>
      </c>
      <c r="AA56" s="73">
        <f>AA42</f>
        <v>97904845785.284332</v>
      </c>
    </row>
    <row r="57" spans="1:27">
      <c r="A57" s="55">
        <v>3</v>
      </c>
      <c r="B57" s="55">
        <v>1.8029999999999999</v>
      </c>
      <c r="C57" s="18">
        <f t="shared" si="27"/>
        <v>1803</v>
      </c>
      <c r="D57" s="36">
        <v>8</v>
      </c>
      <c r="E57" s="36">
        <v>150</v>
      </c>
      <c r="F57" s="36">
        <v>1</v>
      </c>
      <c r="G57" s="14">
        <v>-1</v>
      </c>
    </row>
    <row r="58" spans="1:27" ht="15.75" thickBot="1">
      <c r="A58" s="55">
        <v>4</v>
      </c>
      <c r="B58" s="55">
        <v>0.51529999999999998</v>
      </c>
      <c r="C58" s="18">
        <f t="shared" si="27"/>
        <v>515.29999999999995</v>
      </c>
      <c r="D58" s="36">
        <v>8</v>
      </c>
      <c r="E58" s="36">
        <v>250</v>
      </c>
      <c r="F58" s="36">
        <v>1</v>
      </c>
      <c r="G58" s="14">
        <v>1</v>
      </c>
      <c r="J58" s="1" t="s">
        <v>90</v>
      </c>
      <c r="K58" s="1"/>
      <c r="L58" s="1"/>
      <c r="M58" s="1"/>
      <c r="Q58" s="21" t="s">
        <v>92</v>
      </c>
    </row>
    <row r="59" spans="1:27" ht="15.75" thickBot="1">
      <c r="A59" s="55">
        <v>5</v>
      </c>
      <c r="B59" s="55">
        <v>1.9379999999999999</v>
      </c>
      <c r="C59" s="18">
        <f t="shared" si="27"/>
        <v>1938</v>
      </c>
      <c r="D59" s="36">
        <v>6</v>
      </c>
      <c r="E59" s="36">
        <v>130</v>
      </c>
      <c r="F59" s="36">
        <v>0</v>
      </c>
      <c r="G59" s="14">
        <v>-1.4139999999999999</v>
      </c>
      <c r="J59" s="123" t="s">
        <v>30</v>
      </c>
      <c r="K59" s="123"/>
      <c r="L59" s="123"/>
      <c r="M59" s="37" t="s">
        <v>31</v>
      </c>
      <c r="N59" s="37" t="s">
        <v>32</v>
      </c>
      <c r="O59" s="37" t="s">
        <v>33</v>
      </c>
      <c r="P59" s="37" t="s">
        <v>81</v>
      </c>
      <c r="Q59" s="56" t="s">
        <v>77</v>
      </c>
      <c r="R59" s="37" t="s">
        <v>34</v>
      </c>
      <c r="T59" s="19" t="s">
        <v>60</v>
      </c>
    </row>
    <row r="60" spans="1:27">
      <c r="A60" s="55">
        <v>6</v>
      </c>
      <c r="B60" s="55">
        <v>0.755</v>
      </c>
      <c r="C60" s="18">
        <f t="shared" si="27"/>
        <v>755</v>
      </c>
      <c r="D60" s="36">
        <v>6</v>
      </c>
      <c r="E60" s="36">
        <v>270</v>
      </c>
      <c r="F60" s="36">
        <v>0</v>
      </c>
      <c r="G60" s="14">
        <v>1.4139999999999999</v>
      </c>
      <c r="J60" s="98" t="s">
        <v>35</v>
      </c>
      <c r="K60" s="114"/>
      <c r="L60" s="99"/>
      <c r="M60" s="36">
        <f>SUM(M61:M62)</f>
        <v>1660703425859032</v>
      </c>
      <c r="N60" s="36">
        <v>5</v>
      </c>
      <c r="O60" s="36">
        <f>M60/N60</f>
        <v>332140685171806.37</v>
      </c>
      <c r="P60" s="36">
        <f>O60/O64</f>
        <v>10433.797198685583</v>
      </c>
      <c r="Q60" s="36">
        <v>5.05</v>
      </c>
      <c r="R60" s="36">
        <v>0.05</v>
      </c>
    </row>
    <row r="61" spans="1:27">
      <c r="A61" s="55">
        <v>7</v>
      </c>
      <c r="B61" s="55">
        <v>2.0312999999999999</v>
      </c>
      <c r="C61" s="18">
        <f t="shared" si="27"/>
        <v>2031.3</v>
      </c>
      <c r="D61" s="36">
        <v>3.17</v>
      </c>
      <c r="E61" s="36">
        <v>200</v>
      </c>
      <c r="F61" s="36">
        <v>-1.4140999999999999</v>
      </c>
      <c r="G61" s="14">
        <v>0</v>
      </c>
      <c r="J61" s="2" t="s">
        <v>27</v>
      </c>
      <c r="K61" s="115" t="s">
        <v>91</v>
      </c>
      <c r="L61" s="116"/>
      <c r="M61" s="36">
        <f>T56</f>
        <v>1103580339253640.2</v>
      </c>
      <c r="N61" s="36">
        <v>2</v>
      </c>
      <c r="O61" s="36">
        <f>M61/N61</f>
        <v>551790169626820.12</v>
      </c>
      <c r="P61" s="36"/>
      <c r="Q61" s="36"/>
      <c r="R61" s="36"/>
      <c r="S61" t="s">
        <v>61</v>
      </c>
    </row>
    <row r="62" spans="1:27">
      <c r="A62" s="55">
        <v>8</v>
      </c>
      <c r="B62" s="55">
        <v>0.56169999999999998</v>
      </c>
      <c r="C62" s="18">
        <f t="shared" si="27"/>
        <v>561.69999999999993</v>
      </c>
      <c r="D62" s="36">
        <v>8.8800000000000008</v>
      </c>
      <c r="E62" s="36">
        <v>200</v>
      </c>
      <c r="F62" s="36">
        <v>1.4140999999999999</v>
      </c>
      <c r="G62" s="14">
        <v>0</v>
      </c>
      <c r="J62" s="2"/>
      <c r="K62" s="119" t="s">
        <v>59</v>
      </c>
      <c r="L62" s="120"/>
      <c r="M62" s="36">
        <f>R56</f>
        <v>557123086605391.62</v>
      </c>
      <c r="N62" s="36">
        <v>3</v>
      </c>
      <c r="O62" s="36">
        <f>M62/N62</f>
        <v>185707695535130.53</v>
      </c>
      <c r="P62" s="36"/>
      <c r="Q62" s="36"/>
      <c r="R62" s="36"/>
      <c r="S62" t="s">
        <v>62</v>
      </c>
    </row>
    <row r="63" spans="1:27">
      <c r="A63" s="55">
        <v>9</v>
      </c>
      <c r="B63" s="55">
        <v>2.056</v>
      </c>
      <c r="C63" s="18">
        <f t="shared" si="27"/>
        <v>2056</v>
      </c>
      <c r="D63" s="36">
        <v>6</v>
      </c>
      <c r="E63" s="36">
        <v>200</v>
      </c>
      <c r="F63" s="36">
        <v>0</v>
      </c>
      <c r="G63" s="14">
        <v>0</v>
      </c>
      <c r="J63" s="17"/>
      <c r="K63" s="115"/>
      <c r="L63" s="116"/>
      <c r="M63" s="39"/>
      <c r="N63" s="36"/>
      <c r="O63" s="36"/>
      <c r="P63" s="36"/>
      <c r="Q63" s="36"/>
      <c r="R63" s="36"/>
      <c r="T63" t="s">
        <v>50</v>
      </c>
    </row>
    <row r="64" spans="1:27">
      <c r="A64" s="55">
        <v>10</v>
      </c>
      <c r="B64" s="55">
        <v>2.431</v>
      </c>
      <c r="C64" s="18">
        <f t="shared" si="27"/>
        <v>2431</v>
      </c>
      <c r="D64" s="36">
        <v>6</v>
      </c>
      <c r="E64" s="36">
        <v>200</v>
      </c>
      <c r="F64" s="36">
        <v>0</v>
      </c>
      <c r="G64" s="14">
        <v>0</v>
      </c>
      <c r="J64" s="98" t="s">
        <v>47</v>
      </c>
      <c r="K64" s="121"/>
      <c r="L64" s="122"/>
      <c r="M64" s="36">
        <f>M65+M66</f>
        <v>159165775818.24594</v>
      </c>
      <c r="N64" s="36">
        <v>5</v>
      </c>
      <c r="O64" s="36">
        <f>M64/N64</f>
        <v>31833155163.649189</v>
      </c>
      <c r="P64" s="36"/>
      <c r="Q64" s="36"/>
      <c r="R64" s="36"/>
    </row>
    <row r="65" spans="1:20">
      <c r="A65" s="55">
        <v>11</v>
      </c>
      <c r="B65" s="55">
        <v>1.7446999999999999</v>
      </c>
      <c r="C65" s="18">
        <f t="shared" si="27"/>
        <v>1744.6999999999998</v>
      </c>
      <c r="D65" s="36">
        <v>6</v>
      </c>
      <c r="E65" s="36">
        <v>200</v>
      </c>
      <c r="F65" s="36">
        <v>0</v>
      </c>
      <c r="G65" s="14">
        <v>0</v>
      </c>
      <c r="J65" s="2"/>
      <c r="K65" s="115" t="s">
        <v>48</v>
      </c>
      <c r="L65" s="116"/>
      <c r="M65" s="36">
        <f>AA42</f>
        <v>97904845785.284332</v>
      </c>
      <c r="N65" s="36">
        <v>3</v>
      </c>
      <c r="O65" s="36">
        <f>M65/N65</f>
        <v>32634948595.094776</v>
      </c>
      <c r="P65" s="36">
        <f>O65/O66</f>
        <v>1.0654408471283559</v>
      </c>
      <c r="Q65" s="36">
        <v>19.2</v>
      </c>
      <c r="R65" s="36">
        <v>0.4572</v>
      </c>
      <c r="T65" t="s">
        <v>51</v>
      </c>
    </row>
    <row r="66" spans="1:20">
      <c r="J66" s="2"/>
      <c r="K66" s="119" t="s">
        <v>49</v>
      </c>
      <c r="L66" s="120"/>
      <c r="M66" s="36">
        <f>Y56</f>
        <v>61260930032.961609</v>
      </c>
      <c r="N66" s="36">
        <v>2</v>
      </c>
      <c r="O66" s="36">
        <f t="shared" ref="O66" si="28">M66/N66</f>
        <v>30630465016.480804</v>
      </c>
      <c r="P66" s="36"/>
      <c r="Q66" s="36"/>
      <c r="R66" s="36"/>
    </row>
    <row r="67" spans="1:20">
      <c r="J67" s="17"/>
      <c r="K67" s="115"/>
      <c r="L67" s="116"/>
      <c r="M67" s="39"/>
      <c r="N67" s="2"/>
      <c r="O67" s="2"/>
      <c r="P67" s="36"/>
      <c r="Q67" s="36"/>
      <c r="R67" s="36"/>
    </row>
    <row r="68" spans="1:20">
      <c r="J68" s="96" t="s">
        <v>19</v>
      </c>
      <c r="K68" s="117"/>
      <c r="L68" s="118"/>
      <c r="M68" s="36">
        <f>M60+M64</f>
        <v>1660862591634850.2</v>
      </c>
      <c r="N68" s="36">
        <v>10</v>
      </c>
      <c r="O68" s="2"/>
      <c r="P68" s="36"/>
      <c r="Q68" s="36"/>
      <c r="R68" s="36"/>
    </row>
    <row r="69" spans="1:20">
      <c r="J69" s="57" t="s">
        <v>93</v>
      </c>
      <c r="K69">
        <f>M60/M68</f>
        <v>0.9999041668006613</v>
      </c>
    </row>
    <row r="72" spans="1:20">
      <c r="B72" s="1" t="s">
        <v>66</v>
      </c>
      <c r="E72" t="s">
        <v>68</v>
      </c>
    </row>
    <row r="73" spans="1:20">
      <c r="B73" t="s">
        <v>67</v>
      </c>
      <c r="C73">
        <f>AVERAGE((R56+U56))</f>
        <v>557865339218212.94</v>
      </c>
      <c r="E73">
        <f t="shared" ref="E73:E83" si="29">SUM(R43+T43)</f>
        <v>59393458785873.109</v>
      </c>
    </row>
    <row r="74" spans="1:20">
      <c r="E74">
        <f t="shared" si="29"/>
        <v>151163795769284.59</v>
      </c>
    </row>
    <row r="75" spans="1:20">
      <c r="B75" t="s">
        <v>69</v>
      </c>
      <c r="C75">
        <f t="shared" ref="C75:C86" si="30">((E73-$C$73)^2)/10</f>
        <v>2.4847421558175286E+28</v>
      </c>
      <c r="E75">
        <f t="shared" si="29"/>
        <v>137339109150248</v>
      </c>
      <c r="I75" t="s">
        <v>127</v>
      </c>
      <c r="J75" t="s">
        <v>113</v>
      </c>
      <c r="K75" t="s">
        <v>123</v>
      </c>
      <c r="L75" t="s">
        <v>124</v>
      </c>
      <c r="M75" t="s">
        <v>125</v>
      </c>
      <c r="N75" t="s">
        <v>114</v>
      </c>
      <c r="O75" t="s">
        <v>111</v>
      </c>
    </row>
    <row r="76" spans="1:20">
      <c r="C76">
        <f t="shared" si="30"/>
        <v>1.6540614544374057E+28</v>
      </c>
      <c r="E76">
        <f t="shared" si="29"/>
        <v>275120712469100.53</v>
      </c>
      <c r="I76" t="s">
        <v>35</v>
      </c>
      <c r="J76">
        <v>5</v>
      </c>
      <c r="K76">
        <v>1.0081800000000001</v>
      </c>
      <c r="L76">
        <v>1.0081800000000001</v>
      </c>
      <c r="M76">
        <v>0.20164000000000001</v>
      </c>
      <c r="N76">
        <v>6.35</v>
      </c>
      <c r="O76">
        <v>3.2000000000000001E-2</v>
      </c>
    </row>
    <row r="77" spans="1:20">
      <c r="C77">
        <f t="shared" si="30"/>
        <v>1.7684231017517498E+28</v>
      </c>
      <c r="E77">
        <f t="shared" si="29"/>
        <v>76486903422084.937</v>
      </c>
      <c r="I77" t="s">
        <v>128</v>
      </c>
      <c r="J77">
        <v>2</v>
      </c>
      <c r="K77">
        <v>0.62378999999999996</v>
      </c>
      <c r="L77">
        <v>0.25341000000000002</v>
      </c>
      <c r="M77">
        <v>0.12670000000000001</v>
      </c>
      <c r="N77">
        <v>3.99</v>
      </c>
      <c r="O77">
        <v>9.1999999999999998E-2</v>
      </c>
    </row>
    <row r="78" spans="1:20">
      <c r="C78">
        <f t="shared" si="30"/>
        <v>7.9944523955494865E+27</v>
      </c>
      <c r="E78">
        <f t="shared" si="29"/>
        <v>236298673690629.75</v>
      </c>
      <c r="I78" t="s">
        <v>129</v>
      </c>
      <c r="J78">
        <v>2</v>
      </c>
      <c r="K78">
        <v>0.36092000000000002</v>
      </c>
      <c r="L78">
        <v>0.36092000000000002</v>
      </c>
      <c r="M78">
        <v>0.18046000000000001</v>
      </c>
      <c r="N78">
        <v>5.68</v>
      </c>
      <c r="O78">
        <v>5.1999999999999998E-2</v>
      </c>
    </row>
    <row r="79" spans="1:20">
      <c r="C79">
        <f t="shared" si="30"/>
        <v>2.3172519844952694E+28</v>
      </c>
      <c r="E79">
        <f t="shared" si="29"/>
        <v>83649721729782.859</v>
      </c>
      <c r="I79" t="s">
        <v>130</v>
      </c>
      <c r="J79">
        <v>1</v>
      </c>
      <c r="K79">
        <v>2.3480000000000001E-2</v>
      </c>
      <c r="L79">
        <v>2.3480000000000001E-2</v>
      </c>
      <c r="M79">
        <v>2.3480000000000001E-2</v>
      </c>
      <c r="N79">
        <v>0.74</v>
      </c>
      <c r="O79">
        <v>0.42899999999999999</v>
      </c>
    </row>
    <row r="80" spans="1:20">
      <c r="C80">
        <f t="shared" si="30"/>
        <v>1.0340512037852854E+28</v>
      </c>
      <c r="E80">
        <f t="shared" si="29"/>
        <v>227765196800158</v>
      </c>
      <c r="I80" t="s">
        <v>131</v>
      </c>
      <c r="J80">
        <v>5</v>
      </c>
      <c r="K80">
        <v>0.15883</v>
      </c>
      <c r="L80">
        <v>0.15883</v>
      </c>
      <c r="M80">
        <v>3.177E-2</v>
      </c>
    </row>
    <row r="81" spans="1:15">
      <c r="C81">
        <f t="shared" si="30"/>
        <v>2.2488045186993303E+28</v>
      </c>
      <c r="E81">
        <f t="shared" si="29"/>
        <v>137828618013956.73</v>
      </c>
      <c r="I81" t="s">
        <v>132</v>
      </c>
      <c r="J81">
        <v>3</v>
      </c>
      <c r="K81">
        <v>9.7570000000000004E-2</v>
      </c>
      <c r="L81">
        <v>9.7570000000000004E-2</v>
      </c>
      <c r="M81">
        <v>3.252E-2</v>
      </c>
      <c r="N81">
        <v>1.06</v>
      </c>
      <c r="O81">
        <v>0.51900000000000002</v>
      </c>
    </row>
    <row r="82" spans="1:15">
      <c r="C82">
        <f t="shared" si="30"/>
        <v>1.0896610402442015E+28</v>
      </c>
      <c r="E82">
        <f t="shared" si="29"/>
        <v>137828618013956.73</v>
      </c>
      <c r="I82" t="s">
        <v>133</v>
      </c>
      <c r="J82">
        <v>2</v>
      </c>
      <c r="K82">
        <v>6.1260000000000002E-2</v>
      </c>
      <c r="L82">
        <v>6.1260000000000002E-2</v>
      </c>
      <c r="M82">
        <v>3.0630000000000001E-2</v>
      </c>
    </row>
    <row r="83" spans="1:15">
      <c r="C83">
        <f t="shared" si="30"/>
        <v>1.7643084716002203E+28</v>
      </c>
      <c r="E83">
        <f t="shared" si="29"/>
        <v>137828618013956.73</v>
      </c>
      <c r="I83" t="s">
        <v>19</v>
      </c>
      <c r="J83">
        <v>10</v>
      </c>
      <c r="K83">
        <v>1.1670100000000001</v>
      </c>
    </row>
    <row r="84" spans="1:15">
      <c r="C84">
        <f t="shared" si="30"/>
        <v>1.7643084716002203E+28</v>
      </c>
    </row>
    <row r="85" spans="1:15">
      <c r="C85">
        <f t="shared" si="30"/>
        <v>1.7643084716002203E+28</v>
      </c>
    </row>
    <row r="86" spans="1:15">
      <c r="C86">
        <f t="shared" si="30"/>
        <v>3.1121373670105176E+28</v>
      </c>
      <c r="I86" t="s">
        <v>134</v>
      </c>
      <c r="J86" t="s">
        <v>135</v>
      </c>
      <c r="K86" t="s">
        <v>119</v>
      </c>
      <c r="L86" t="s">
        <v>40</v>
      </c>
      <c r="M86" t="s">
        <v>111</v>
      </c>
    </row>
    <row r="87" spans="1:15">
      <c r="I87" t="s">
        <v>136</v>
      </c>
      <c r="J87">
        <v>-3.5350199999999998</v>
      </c>
      <c r="K87">
        <v>1.84368</v>
      </c>
      <c r="L87">
        <v>-1.917</v>
      </c>
      <c r="M87">
        <v>0.113</v>
      </c>
    </row>
    <row r="88" spans="1:15">
      <c r="A88" t="s">
        <v>70</v>
      </c>
      <c r="B88" t="s">
        <v>41</v>
      </c>
      <c r="C88" s="32">
        <f>SQRT(SUM(C75:C86))</f>
        <v>466920801427789.19</v>
      </c>
      <c r="I88" t="s">
        <v>112</v>
      </c>
      <c r="J88">
        <v>3.2050000000000002E-2</v>
      </c>
      <c r="K88">
        <v>1.338E-2</v>
      </c>
      <c r="L88">
        <v>2.3959999999999999</v>
      </c>
      <c r="M88">
        <v>6.2E-2</v>
      </c>
    </row>
    <row r="89" spans="1:15">
      <c r="A89" t="s">
        <v>71</v>
      </c>
      <c r="C89" s="33">
        <f>$C$73/(C88/(SQRT(11)))</f>
        <v>3.9626206587356201</v>
      </c>
      <c r="I89" t="s">
        <v>110</v>
      </c>
      <c r="J89">
        <v>0.69438</v>
      </c>
      <c r="K89">
        <v>0.28648000000000001</v>
      </c>
      <c r="L89">
        <v>2.4239999999999999</v>
      </c>
      <c r="M89">
        <v>0.06</v>
      </c>
    </row>
    <row r="90" spans="1:15">
      <c r="C90" t="s">
        <v>75</v>
      </c>
      <c r="I90" t="s">
        <v>137</v>
      </c>
      <c r="J90">
        <v>-8.0000000000000007E-5</v>
      </c>
      <c r="K90">
        <v>3.0000000000000001E-5</v>
      </c>
      <c r="L90">
        <v>-2.6339999999999999</v>
      </c>
      <c r="M90">
        <v>4.5999999999999999E-2</v>
      </c>
    </row>
    <row r="91" spans="1:15">
      <c r="C91" t="s">
        <v>73</v>
      </c>
      <c r="I91" t="s">
        <v>138</v>
      </c>
      <c r="J91">
        <v>-5.1400000000000001E-2</v>
      </c>
      <c r="K91">
        <v>1.8460000000000001E-2</v>
      </c>
      <c r="L91">
        <v>-2.7850000000000001</v>
      </c>
      <c r="M91">
        <v>3.9E-2</v>
      </c>
    </row>
    <row r="92" spans="1:15">
      <c r="I92" t="s">
        <v>139</v>
      </c>
      <c r="J92">
        <v>-7.6999999999999996E-4</v>
      </c>
      <c r="K92">
        <v>8.8999999999999995E-4</v>
      </c>
      <c r="L92">
        <v>-0.86</v>
      </c>
      <c r="M92">
        <v>0.42899999999999999</v>
      </c>
    </row>
    <row r="99" spans="7:7">
      <c r="G99" s="32"/>
    </row>
    <row r="100" spans="7:7">
      <c r="G100" s="32">
        <v>0.85260000000000002</v>
      </c>
    </row>
    <row r="101" spans="7:7">
      <c r="G101" s="32">
        <v>0.50319999999999998</v>
      </c>
    </row>
    <row r="102" spans="7:7">
      <c r="G102" s="32">
        <v>0.91830000000000001</v>
      </c>
    </row>
    <row r="103" spans="7:7">
      <c r="G103" s="32">
        <v>0.26240000000000002</v>
      </c>
    </row>
    <row r="104" spans="7:7">
      <c r="G104" s="32">
        <v>0.98699999999999999</v>
      </c>
    </row>
    <row r="105" spans="7:7">
      <c r="G105" s="32">
        <v>0.38450000000000001</v>
      </c>
    </row>
    <row r="106" spans="7:7">
      <c r="G106" s="32">
        <v>1.0345</v>
      </c>
    </row>
    <row r="107" spans="7:7">
      <c r="G107" s="32">
        <v>0.28610000000000002</v>
      </c>
    </row>
    <row r="108" spans="7:7">
      <c r="G108" s="32">
        <v>1.0470999999999999</v>
      </c>
    </row>
    <row r="109" spans="7:7">
      <c r="G109" s="32">
        <v>1.2381</v>
      </c>
    </row>
    <row r="110" spans="7:7">
      <c r="G110" s="32">
        <v>0.88859999999999995</v>
      </c>
    </row>
    <row r="111" spans="7:7">
      <c r="G111" s="32"/>
    </row>
  </sheetData>
  <mergeCells count="16">
    <mergeCell ref="Z40:AA40"/>
    <mergeCell ref="P40:V40"/>
    <mergeCell ref="J68:L68"/>
    <mergeCell ref="K62:L62"/>
    <mergeCell ref="K65:L65"/>
    <mergeCell ref="K66:L66"/>
    <mergeCell ref="J64:L64"/>
    <mergeCell ref="K61:L61"/>
    <mergeCell ref="M40:O40"/>
    <mergeCell ref="J59:L59"/>
    <mergeCell ref="K67:L67"/>
    <mergeCell ref="B37:C37"/>
    <mergeCell ref="C53:G53"/>
    <mergeCell ref="J60:L60"/>
    <mergeCell ref="K63:L63"/>
    <mergeCell ref="W40:Y40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2"/>
  <dimension ref="A2:F13"/>
  <sheetViews>
    <sheetView topLeftCell="A10" zoomScaleNormal="100" workbookViewId="0">
      <selection activeCell="C35" sqref="C35"/>
    </sheetView>
  </sheetViews>
  <sheetFormatPr defaultRowHeight="15"/>
  <cols>
    <col min="1" max="1" width="19.85546875" customWidth="1"/>
    <col min="2" max="3" width="28.140625" customWidth="1"/>
    <col min="4" max="4" width="16.28515625" customWidth="1"/>
    <col min="5" max="5" width="7.42578125" customWidth="1"/>
    <col min="6" max="7" width="27" bestFit="1" customWidth="1"/>
  </cols>
  <sheetData>
    <row r="2" spans="1:6">
      <c r="A2" s="57" t="s">
        <v>13</v>
      </c>
      <c r="B2" s="57">
        <v>192.8</v>
      </c>
      <c r="C2" s="55" t="s">
        <v>14</v>
      </c>
    </row>
    <row r="4" spans="1:6">
      <c r="A4" s="18" t="s">
        <v>100</v>
      </c>
      <c r="B4" s="18" t="s">
        <v>15</v>
      </c>
      <c r="C4" s="18" t="s">
        <v>16</v>
      </c>
      <c r="D4" s="37" t="s">
        <v>101</v>
      </c>
      <c r="E4" s="18"/>
      <c r="F4" s="18" t="s">
        <v>18</v>
      </c>
    </row>
    <row r="5" spans="1:6">
      <c r="A5" s="36">
        <v>300</v>
      </c>
      <c r="B5" s="36">
        <v>311.7</v>
      </c>
      <c r="C5" s="36">
        <v>311.7</v>
      </c>
      <c r="D5" s="36">
        <f t="shared" ref="D5:D11" si="0">((C5-B5)/$B$2)*100</f>
        <v>0</v>
      </c>
      <c r="E5" s="81">
        <v>100</v>
      </c>
      <c r="F5" s="36">
        <f>E5</f>
        <v>100</v>
      </c>
    </row>
    <row r="6" spans="1:6">
      <c r="A6" s="36">
        <v>212</v>
      </c>
      <c r="B6" s="36">
        <v>307.8</v>
      </c>
      <c r="C6" s="36">
        <v>321</v>
      </c>
      <c r="D6" s="36">
        <f t="shared" si="0"/>
        <v>6.8464730290456366</v>
      </c>
      <c r="E6" s="82">
        <f>D6</f>
        <v>6.8464730290456366</v>
      </c>
      <c r="F6" s="36">
        <f>$E$5-E6</f>
        <v>93.15352697095436</v>
      </c>
    </row>
    <row r="7" spans="1:6">
      <c r="A7" s="36">
        <v>150</v>
      </c>
      <c r="B7" s="36">
        <v>301.5</v>
      </c>
      <c r="C7" s="36">
        <v>348.6</v>
      </c>
      <c r="D7" s="36">
        <f t="shared" si="0"/>
        <v>24.429460580912874</v>
      </c>
      <c r="E7" s="82">
        <v>24.429460580912874</v>
      </c>
      <c r="F7" s="36">
        <f>F6-E7</f>
        <v>68.724066390041486</v>
      </c>
    </row>
    <row r="8" spans="1:6">
      <c r="A8" s="36">
        <v>90</v>
      </c>
      <c r="B8" s="36">
        <v>290.89999999999998</v>
      </c>
      <c r="C8" s="36">
        <v>341.4</v>
      </c>
      <c r="D8" s="36">
        <f t="shared" si="0"/>
        <v>26.19294605809128</v>
      </c>
      <c r="E8" s="82">
        <v>26.19294605809128</v>
      </c>
      <c r="F8" s="36">
        <f>F7-E8</f>
        <v>42.531120331950206</v>
      </c>
    </row>
    <row r="9" spans="1:6">
      <c r="A9" s="36">
        <v>75</v>
      </c>
      <c r="B9" s="36">
        <v>289.7</v>
      </c>
      <c r="C9" s="36">
        <v>316</v>
      </c>
      <c r="D9" s="36">
        <f t="shared" si="0"/>
        <v>13.641078838174279</v>
      </c>
      <c r="E9" s="82">
        <v>13.641078838174279</v>
      </c>
      <c r="F9" s="36">
        <f>F8-E9</f>
        <v>28.890041493775925</v>
      </c>
    </row>
    <row r="10" spans="1:6">
      <c r="A10" s="36">
        <v>63</v>
      </c>
      <c r="B10" s="36">
        <v>341.1</v>
      </c>
      <c r="C10" s="36">
        <v>355.6</v>
      </c>
      <c r="D10" s="36">
        <f t="shared" si="0"/>
        <v>7.5207468879668049</v>
      </c>
      <c r="E10" s="82">
        <v>7.5207468879668049</v>
      </c>
      <c r="F10" s="36">
        <f>F9-E10</f>
        <v>21.36929460580912</v>
      </c>
    </row>
    <row r="11" spans="1:6">
      <c r="A11" s="36">
        <v>38</v>
      </c>
      <c r="B11" s="36">
        <v>283.89999999999998</v>
      </c>
      <c r="C11" s="36">
        <v>314.10000000000002</v>
      </c>
      <c r="D11" s="36">
        <f t="shared" si="0"/>
        <v>15.663900414937782</v>
      </c>
      <c r="E11" s="82">
        <v>15.663900414937782</v>
      </c>
      <c r="F11" s="36">
        <f>F10-E11</f>
        <v>5.7053941908713384</v>
      </c>
    </row>
    <row r="12" spans="1:6" ht="15.75" thickBot="1">
      <c r="A12" s="2" t="s">
        <v>17</v>
      </c>
      <c r="B12" s="14">
        <v>326.3</v>
      </c>
      <c r="C12" s="78"/>
      <c r="D12" s="78"/>
      <c r="E12" s="2"/>
      <c r="F12" s="2"/>
    </row>
    <row r="13" spans="1:6" ht="15.75" thickBot="1">
      <c r="C13" s="79" t="s">
        <v>19</v>
      </c>
      <c r="D13" s="80">
        <f>SUM(D5:D11)</f>
        <v>94.294605809128669</v>
      </c>
    </row>
  </sheetData>
  <pageMargins left="0.7" right="0.7" top="0.75" bottom="0.75" header="0.3" footer="0.3"/>
  <pageSetup paperSize="9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5"/>
  <sheetViews>
    <sheetView topLeftCell="A5" zoomScale="85" zoomScaleNormal="85" workbookViewId="0">
      <selection activeCell="P21" sqref="P21"/>
    </sheetView>
  </sheetViews>
  <sheetFormatPr defaultRowHeight="15"/>
  <sheetData>
    <row r="2" spans="1:1">
      <c r="A2" t="s">
        <v>23</v>
      </c>
    </row>
    <row r="3" spans="1:1">
      <c r="A3" t="s">
        <v>103</v>
      </c>
    </row>
    <row r="5" spans="1:1">
      <c r="A5" t="s">
        <v>102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L29"/>
  <sheetViews>
    <sheetView topLeftCell="A13" workbookViewId="0">
      <selection activeCell="C21" sqref="C21:I29"/>
    </sheetView>
  </sheetViews>
  <sheetFormatPr defaultRowHeight="15"/>
  <sheetData>
    <row r="2" spans="1:12">
      <c r="F2" s="5">
        <v>1886.5</v>
      </c>
    </row>
    <row r="3" spans="1:12">
      <c r="F3" s="5">
        <v>178</v>
      </c>
      <c r="G3" t="s">
        <v>5</v>
      </c>
    </row>
    <row r="4" spans="1:12">
      <c r="F4" s="5">
        <v>-15.7</v>
      </c>
      <c r="G4" t="s">
        <v>65</v>
      </c>
    </row>
    <row r="5" spans="1:12">
      <c r="F5" s="5">
        <v>-224.2</v>
      </c>
      <c r="G5" t="s">
        <v>126</v>
      </c>
    </row>
    <row r="7" spans="1:12">
      <c r="B7">
        <v>-1</v>
      </c>
      <c r="C7">
        <v>-0.8</v>
      </c>
      <c r="D7">
        <v>-0.6</v>
      </c>
      <c r="E7">
        <v>-0.4</v>
      </c>
      <c r="F7">
        <v>-0.2</v>
      </c>
      <c r="G7">
        <v>0</v>
      </c>
      <c r="H7">
        <v>0.2</v>
      </c>
      <c r="I7">
        <v>0.4</v>
      </c>
      <c r="J7">
        <v>0.6</v>
      </c>
      <c r="K7">
        <v>0.8</v>
      </c>
      <c r="L7">
        <v>1</v>
      </c>
    </row>
    <row r="8" spans="1:12">
      <c r="A8">
        <v>-1</v>
      </c>
      <c r="B8">
        <f>1886.5+178*$B$7-15.7*A8-224.2*$B$7*A8</f>
        <v>1500</v>
      </c>
      <c r="C8">
        <f>1886.5+178*C7-15.7*$A$8-224.2*C7*$A$8</f>
        <v>1580.44</v>
      </c>
      <c r="D8">
        <f>1886.5+178*D7-15.7*$A$8-224.2*D7*$A$8</f>
        <v>1660.88</v>
      </c>
      <c r="E8">
        <f t="shared" ref="E8:L8" si="0">1886.5+178*E7-15.7*$A$8-224.2*E7*$A$8</f>
        <v>1741.32</v>
      </c>
      <c r="F8">
        <f t="shared" si="0"/>
        <v>1821.7600000000002</v>
      </c>
      <c r="G8">
        <f t="shared" si="0"/>
        <v>1902.2</v>
      </c>
      <c r="H8">
        <f t="shared" si="0"/>
        <v>1982.6399999999999</v>
      </c>
      <c r="I8">
        <f t="shared" si="0"/>
        <v>2063.08</v>
      </c>
      <c r="J8">
        <f t="shared" si="0"/>
        <v>2143.52</v>
      </c>
      <c r="K8">
        <f t="shared" si="0"/>
        <v>2223.96</v>
      </c>
      <c r="L8">
        <f t="shared" si="0"/>
        <v>2304.3999999999996</v>
      </c>
    </row>
    <row r="9" spans="1:12">
      <c r="A9">
        <v>-0.8</v>
      </c>
      <c r="B9">
        <f>1886.5+178*B7-15.7*$A$9-224.2*B7*$A$9</f>
        <v>1541.6999999999998</v>
      </c>
      <c r="C9">
        <f t="shared" ref="C9:L9" si="1">1886.5+178*C7-15.7*$A$9-224.2*C7*$A$9</f>
        <v>1613.1719999999998</v>
      </c>
      <c r="D9">
        <f t="shared" si="1"/>
        <v>1684.644</v>
      </c>
      <c r="E9">
        <f t="shared" si="1"/>
        <v>1756.116</v>
      </c>
      <c r="F9">
        <f t="shared" si="1"/>
        <v>1827.588</v>
      </c>
      <c r="G9">
        <f t="shared" si="1"/>
        <v>1899.06</v>
      </c>
      <c r="H9">
        <f t="shared" si="1"/>
        <v>1970.5319999999999</v>
      </c>
      <c r="I9">
        <f t="shared" si="1"/>
        <v>2042.0039999999999</v>
      </c>
      <c r="J9">
        <f t="shared" si="1"/>
        <v>2113.4759999999997</v>
      </c>
      <c r="K9">
        <f t="shared" si="1"/>
        <v>2184.9479999999999</v>
      </c>
      <c r="L9">
        <f t="shared" si="1"/>
        <v>2256.42</v>
      </c>
    </row>
    <row r="10" spans="1:12">
      <c r="A10">
        <v>-0.6</v>
      </c>
      <c r="B10">
        <f>1886.5+178*B7-15.7*$A$10-224.2*B7*$A$10</f>
        <v>1583.4</v>
      </c>
      <c r="C10">
        <f t="shared" ref="C10:L10" si="2">1886.5+178*C7-15.7*$A$10-224.2*C7*$A$10</f>
        <v>1645.904</v>
      </c>
      <c r="D10">
        <f t="shared" si="2"/>
        <v>1708.4080000000001</v>
      </c>
      <c r="E10">
        <f t="shared" si="2"/>
        <v>1770.912</v>
      </c>
      <c r="F10">
        <f t="shared" si="2"/>
        <v>1833.4160000000002</v>
      </c>
      <c r="G10">
        <f t="shared" si="2"/>
        <v>1895.92</v>
      </c>
      <c r="H10">
        <f t="shared" si="2"/>
        <v>1958.424</v>
      </c>
      <c r="I10">
        <f t="shared" si="2"/>
        <v>2020.9280000000001</v>
      </c>
      <c r="J10">
        <f t="shared" si="2"/>
        <v>2083.4319999999998</v>
      </c>
      <c r="K10">
        <f t="shared" si="2"/>
        <v>2145.9360000000001</v>
      </c>
      <c r="L10">
        <f t="shared" si="2"/>
        <v>2208.44</v>
      </c>
    </row>
    <row r="11" spans="1:12">
      <c r="A11">
        <v>-0.4</v>
      </c>
      <c r="B11">
        <f>1886.5+178*B7-15.7*$A$11-224.2*B7*$A$11</f>
        <v>1625.1</v>
      </c>
      <c r="C11">
        <f t="shared" ref="C11:L11" si="3">1886.5+178*C7-15.7*$A$11-224.2*C7*$A$11</f>
        <v>1678.636</v>
      </c>
      <c r="D11">
        <f t="shared" si="3"/>
        <v>1732.172</v>
      </c>
      <c r="E11">
        <f t="shared" si="3"/>
        <v>1785.7079999999999</v>
      </c>
      <c r="F11">
        <f t="shared" si="3"/>
        <v>1839.2440000000001</v>
      </c>
      <c r="G11">
        <f t="shared" si="3"/>
        <v>1892.78</v>
      </c>
      <c r="H11">
        <f t="shared" si="3"/>
        <v>1946.3159999999998</v>
      </c>
      <c r="I11">
        <f t="shared" si="3"/>
        <v>1999.8520000000001</v>
      </c>
      <c r="J11">
        <f t="shared" si="3"/>
        <v>2053.3879999999999</v>
      </c>
      <c r="K11">
        <f t="shared" si="3"/>
        <v>2106.924</v>
      </c>
      <c r="L11">
        <f t="shared" si="3"/>
        <v>2160.46</v>
      </c>
    </row>
    <row r="12" spans="1:12">
      <c r="A12">
        <v>-0.2</v>
      </c>
      <c r="B12">
        <f>1886.5+178*B7-15.7*$A$12-224.2*B7*$A$12</f>
        <v>1666.8000000000002</v>
      </c>
      <c r="C12">
        <f t="shared" ref="C12:L12" si="4">1886.5+178*C7-15.7*$A$12-224.2*C7*$A$12</f>
        <v>1711.3679999999999</v>
      </c>
      <c r="D12">
        <f t="shared" si="4"/>
        <v>1755.9360000000001</v>
      </c>
      <c r="E12">
        <f t="shared" si="4"/>
        <v>1800.5040000000001</v>
      </c>
      <c r="F12">
        <f t="shared" si="4"/>
        <v>1845.0720000000001</v>
      </c>
      <c r="G12">
        <f t="shared" si="4"/>
        <v>1889.64</v>
      </c>
      <c r="H12">
        <f t="shared" si="4"/>
        <v>1934.2080000000001</v>
      </c>
      <c r="I12">
        <f t="shared" si="4"/>
        <v>1978.7760000000001</v>
      </c>
      <c r="J12">
        <f t="shared" si="4"/>
        <v>2023.3440000000001</v>
      </c>
      <c r="K12">
        <f t="shared" si="4"/>
        <v>2067.9120000000003</v>
      </c>
      <c r="L12">
        <f t="shared" si="4"/>
        <v>2112.48</v>
      </c>
    </row>
    <row r="13" spans="1:12">
      <c r="A13">
        <v>0</v>
      </c>
      <c r="B13">
        <f>1886.5+178*B7-15.7*$A$13-224.2*B7*$A$13</f>
        <v>1708.5</v>
      </c>
      <c r="C13">
        <f t="shared" ref="C13:L13" si="5">1886.5+178*C7-15.7*$A$13-224.2*C7*$A$13</f>
        <v>1744.1</v>
      </c>
      <c r="D13">
        <f t="shared" si="5"/>
        <v>1779.7</v>
      </c>
      <c r="E13">
        <f t="shared" si="5"/>
        <v>1815.3</v>
      </c>
      <c r="F13">
        <f t="shared" si="5"/>
        <v>1850.9</v>
      </c>
      <c r="G13">
        <f t="shared" si="5"/>
        <v>1886.5</v>
      </c>
      <c r="H13">
        <f t="shared" si="5"/>
        <v>1922.1</v>
      </c>
      <c r="I13">
        <f t="shared" si="5"/>
        <v>1957.7</v>
      </c>
      <c r="J13">
        <f t="shared" si="5"/>
        <v>1993.3</v>
      </c>
      <c r="K13">
        <f t="shared" si="5"/>
        <v>2028.9</v>
      </c>
      <c r="L13">
        <f t="shared" si="5"/>
        <v>2064.5</v>
      </c>
    </row>
    <row r="14" spans="1:12">
      <c r="A14">
        <v>0.2</v>
      </c>
      <c r="B14">
        <f>1886.5+178*B7-15.7*$A$14-224.2*B7*$A$14</f>
        <v>1750.1999999999998</v>
      </c>
      <c r="C14">
        <f t="shared" ref="C14:L14" si="6">1886.5+178*C7-15.7*$A$14-224.2*C7*$A$14</f>
        <v>1776.8319999999999</v>
      </c>
      <c r="D14">
        <f t="shared" si="6"/>
        <v>1803.4639999999999</v>
      </c>
      <c r="E14">
        <f t="shared" si="6"/>
        <v>1830.0959999999998</v>
      </c>
      <c r="F14">
        <f t="shared" si="6"/>
        <v>1856.7280000000001</v>
      </c>
      <c r="G14">
        <f t="shared" si="6"/>
        <v>1883.36</v>
      </c>
      <c r="H14">
        <f t="shared" si="6"/>
        <v>1909.9919999999997</v>
      </c>
      <c r="I14">
        <f t="shared" si="6"/>
        <v>1936.624</v>
      </c>
      <c r="J14">
        <f t="shared" si="6"/>
        <v>1963.2559999999999</v>
      </c>
      <c r="K14">
        <f t="shared" si="6"/>
        <v>1989.8879999999999</v>
      </c>
      <c r="L14">
        <f t="shared" si="6"/>
        <v>2016.5200000000002</v>
      </c>
    </row>
    <row r="15" spans="1:12">
      <c r="A15">
        <v>0.4</v>
      </c>
      <c r="B15">
        <f>1886.5+178*B7-15.7*$A$15-224.2*B7*$A$15</f>
        <v>1791.9</v>
      </c>
      <c r="C15">
        <f t="shared" ref="C15:L15" si="7">1886.5+178*C7-15.7*$A$15-224.2*C7*$A$15</f>
        <v>1809.5639999999999</v>
      </c>
      <c r="D15">
        <f t="shared" si="7"/>
        <v>1827.2280000000001</v>
      </c>
      <c r="E15">
        <f t="shared" si="7"/>
        <v>1844.8920000000001</v>
      </c>
      <c r="F15">
        <f t="shared" si="7"/>
        <v>1862.556</v>
      </c>
      <c r="G15">
        <f t="shared" si="7"/>
        <v>1880.22</v>
      </c>
      <c r="H15">
        <f t="shared" si="7"/>
        <v>1897.884</v>
      </c>
      <c r="I15">
        <f t="shared" si="7"/>
        <v>1915.548</v>
      </c>
      <c r="J15">
        <f t="shared" si="7"/>
        <v>1933.212</v>
      </c>
      <c r="K15">
        <f t="shared" si="7"/>
        <v>1950.8760000000002</v>
      </c>
      <c r="L15">
        <f t="shared" si="7"/>
        <v>1968.5399999999997</v>
      </c>
    </row>
    <row r="16" spans="1:12">
      <c r="A16">
        <v>0.6</v>
      </c>
      <c r="B16">
        <f>1886.5+178*B7-15.7*$A$16-224.2*B7*$A$16</f>
        <v>1833.6</v>
      </c>
      <c r="C16">
        <f t="shared" ref="C16:L16" si="8">1886.5+178*C7-15.7*$A$16-224.2*C7*$A$16</f>
        <v>1842.2959999999998</v>
      </c>
      <c r="D16">
        <f t="shared" si="8"/>
        <v>1850.992</v>
      </c>
      <c r="E16">
        <f t="shared" si="8"/>
        <v>1859.6879999999999</v>
      </c>
      <c r="F16">
        <f t="shared" si="8"/>
        <v>1868.384</v>
      </c>
      <c r="G16">
        <f t="shared" si="8"/>
        <v>1877.08</v>
      </c>
      <c r="H16">
        <f t="shared" si="8"/>
        <v>1885.7759999999998</v>
      </c>
      <c r="I16">
        <f t="shared" si="8"/>
        <v>1894.472</v>
      </c>
      <c r="J16">
        <f t="shared" si="8"/>
        <v>1903.1679999999999</v>
      </c>
      <c r="K16">
        <f t="shared" si="8"/>
        <v>1911.864</v>
      </c>
      <c r="L16">
        <f t="shared" si="8"/>
        <v>1920.56</v>
      </c>
    </row>
    <row r="17" spans="1:12">
      <c r="A17">
        <v>0.8</v>
      </c>
      <c r="B17">
        <f>1886.5+178*B7-15.7*$A$17-224.2*B7*$A$17</f>
        <v>1875.3000000000002</v>
      </c>
      <c r="C17">
        <f t="shared" ref="C17:L17" si="9">1886.5+178*C7-15.7*$A$17-224.2*C7*$A$17</f>
        <v>1875.028</v>
      </c>
      <c r="D17">
        <f t="shared" si="9"/>
        <v>1874.7560000000001</v>
      </c>
      <c r="E17">
        <f t="shared" si="9"/>
        <v>1874.4839999999999</v>
      </c>
      <c r="F17">
        <f t="shared" si="9"/>
        <v>1874.2120000000002</v>
      </c>
      <c r="G17">
        <f t="shared" si="9"/>
        <v>1873.94</v>
      </c>
      <c r="H17">
        <f t="shared" si="9"/>
        <v>1873.6679999999999</v>
      </c>
      <c r="I17">
        <f t="shared" si="9"/>
        <v>1873.3960000000002</v>
      </c>
      <c r="J17">
        <f t="shared" si="9"/>
        <v>1873.124</v>
      </c>
      <c r="K17">
        <f t="shared" si="9"/>
        <v>1872.8520000000001</v>
      </c>
      <c r="L17">
        <f t="shared" si="9"/>
        <v>1872.58</v>
      </c>
    </row>
    <row r="18" spans="1:12">
      <c r="A18">
        <v>1</v>
      </c>
      <c r="B18">
        <f>1886.5+178*B7-15.7*$A$18-224.2*B7*$A$18</f>
        <v>1917</v>
      </c>
      <c r="C18">
        <f t="shared" ref="C18:L18" si="10">1886.5+178*C7-15.7*$A$18-224.2*C7*$A$18</f>
        <v>1907.7599999999998</v>
      </c>
      <c r="D18">
        <f t="shared" si="10"/>
        <v>1898.52</v>
      </c>
      <c r="E18">
        <f t="shared" si="10"/>
        <v>1889.28</v>
      </c>
      <c r="F18">
        <f t="shared" si="10"/>
        <v>1880.04</v>
      </c>
      <c r="G18">
        <f t="shared" si="10"/>
        <v>1870.8</v>
      </c>
      <c r="H18">
        <f t="shared" si="10"/>
        <v>1861.56</v>
      </c>
      <c r="I18">
        <f t="shared" si="10"/>
        <v>1852.32</v>
      </c>
      <c r="J18">
        <f t="shared" si="10"/>
        <v>1843.08</v>
      </c>
      <c r="K18">
        <f t="shared" si="10"/>
        <v>1833.8400000000001</v>
      </c>
      <c r="L18">
        <f t="shared" si="10"/>
        <v>1824.6000000000001</v>
      </c>
    </row>
    <row r="21" spans="1:12">
      <c r="C21" t="s">
        <v>127</v>
      </c>
      <c r="D21" t="s">
        <v>113</v>
      </c>
      <c r="E21" t="s">
        <v>123</v>
      </c>
      <c r="F21" t="s">
        <v>124</v>
      </c>
      <c r="G21" t="s">
        <v>125</v>
      </c>
      <c r="H21" t="s">
        <v>114</v>
      </c>
      <c r="I21" t="s">
        <v>111</v>
      </c>
    </row>
    <row r="22" spans="1:12">
      <c r="C22" t="s">
        <v>35</v>
      </c>
      <c r="D22">
        <v>5</v>
      </c>
      <c r="E22">
        <v>1.0081800000000001</v>
      </c>
      <c r="F22">
        <v>1.0081800000000001</v>
      </c>
      <c r="G22">
        <v>0.20164000000000001</v>
      </c>
      <c r="H22">
        <v>6.35</v>
      </c>
      <c r="I22">
        <v>3.2000000000000001E-2</v>
      </c>
    </row>
    <row r="23" spans="1:12">
      <c r="C23" t="s">
        <v>128</v>
      </c>
      <c r="D23">
        <v>2</v>
      </c>
      <c r="E23">
        <v>0.62378999999999996</v>
      </c>
      <c r="F23">
        <v>0.25341000000000002</v>
      </c>
      <c r="G23">
        <v>0.12670000000000001</v>
      </c>
      <c r="H23">
        <v>3.99</v>
      </c>
      <c r="I23">
        <v>9.1999999999999998E-2</v>
      </c>
    </row>
    <row r="24" spans="1:12">
      <c r="C24" t="s">
        <v>129</v>
      </c>
      <c r="D24">
        <v>2</v>
      </c>
      <c r="E24">
        <v>0.36092000000000002</v>
      </c>
      <c r="F24">
        <v>0.36092000000000002</v>
      </c>
      <c r="G24">
        <v>0.18046000000000001</v>
      </c>
      <c r="H24">
        <v>5.68</v>
      </c>
      <c r="I24">
        <v>5.1999999999999998E-2</v>
      </c>
    </row>
    <row r="25" spans="1:12">
      <c r="C25" t="s">
        <v>130</v>
      </c>
      <c r="D25">
        <v>1</v>
      </c>
      <c r="E25">
        <v>2.3480000000000001E-2</v>
      </c>
      <c r="F25">
        <v>2.3480000000000001E-2</v>
      </c>
      <c r="G25">
        <v>2.3480000000000001E-2</v>
      </c>
      <c r="H25">
        <v>0.74</v>
      </c>
      <c r="I25">
        <v>0.42899999999999999</v>
      </c>
    </row>
    <row r="26" spans="1:12">
      <c r="C26" t="s">
        <v>131</v>
      </c>
      <c r="D26">
        <v>5</v>
      </c>
      <c r="E26">
        <v>0.15883</v>
      </c>
      <c r="F26">
        <v>0.15883</v>
      </c>
      <c r="G26">
        <v>3.177E-2</v>
      </c>
    </row>
    <row r="27" spans="1:12">
      <c r="C27" t="s">
        <v>132</v>
      </c>
      <c r="D27">
        <v>3</v>
      </c>
      <c r="E27">
        <v>9.7570000000000004E-2</v>
      </c>
      <c r="F27">
        <v>9.7570000000000004E-2</v>
      </c>
      <c r="G27">
        <v>3.252E-2</v>
      </c>
      <c r="H27">
        <v>1.06</v>
      </c>
      <c r="I27">
        <v>0.51900000000000002</v>
      </c>
    </row>
    <row r="28" spans="1:12">
      <c r="C28" t="s">
        <v>133</v>
      </c>
      <c r="D28">
        <v>2</v>
      </c>
      <c r="E28">
        <v>6.1260000000000002E-2</v>
      </c>
      <c r="F28">
        <v>6.1260000000000002E-2</v>
      </c>
      <c r="G28">
        <v>3.0630000000000001E-2</v>
      </c>
    </row>
    <row r="29" spans="1:12">
      <c r="C29" t="s">
        <v>19</v>
      </c>
      <c r="D29">
        <v>10</v>
      </c>
      <c r="E29">
        <v>1.1670100000000001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Experimentla design</vt:lpstr>
      <vt:lpstr>Permeability model</vt:lpstr>
      <vt:lpstr>Compressive Load Model</vt:lpstr>
      <vt:lpstr>Compressive stress model</vt:lpstr>
      <vt:lpstr>Sieve analysis</vt:lpstr>
      <vt:lpstr>XRD</vt:lpstr>
      <vt:lpstr>Sheet1</vt:lpstr>
      <vt:lpstr>x</vt:lpstr>
      <vt:lpstr>y</vt:lpstr>
      <vt:lpstr>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2008-10-15T00:48:47Z</dcterms:created>
  <dcterms:modified xsi:type="dcterms:W3CDTF">2010-07-25T08:33:56Z</dcterms:modified>
</cp:coreProperties>
</file>