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5325" tabRatio="995" activeTab="2"/>
  </bookViews>
  <sheets>
    <sheet name="Results" sheetId="1" r:id="rId1"/>
    <sheet name="Planning" sheetId="2" r:id="rId2"/>
    <sheet name="Harness testing" sheetId="3" r:id="rId3"/>
    <sheet name="Impact" sheetId="5" r:id="rId4"/>
    <sheet name="Surface testing results" sheetId="7" r:id="rId5"/>
    <sheet name="Tensile testing" sheetId="4" r:id="rId6"/>
    <sheet name="Experimental design " sheetId="6" r:id="rId7"/>
    <sheet name="Microhardness testing" sheetId="11" r:id="rId8"/>
    <sheet name="Sheet1" sheetId="8" r:id="rId9"/>
    <sheet name="Sheet2" sheetId="9" r:id="rId10"/>
    <sheet name="Sheet3" sheetId="10" r:id="rId11"/>
    <sheet name="Sheet4" sheetId="12" r:id="rId12"/>
  </sheets>
  <definedNames>
    <definedName name="solver_adj" localSheetId="4" hidden="1">'Surface testing results'!$C$16:$D$16</definedName>
    <definedName name="solver_cvg" localSheetId="4" hidden="1">0.0001</definedName>
    <definedName name="solver_drv" localSheetId="4" hidden="1">1</definedName>
    <definedName name="solver_est" localSheetId="4" hidden="1">1</definedName>
    <definedName name="solver_itr" localSheetId="4" hidden="1">100</definedName>
    <definedName name="solver_lin" localSheetId="4" hidden="1">2</definedName>
    <definedName name="solver_neg" localSheetId="4" hidden="1">2</definedName>
    <definedName name="solver_num" localSheetId="4" hidden="1">0</definedName>
    <definedName name="solver_nwt" localSheetId="4" hidden="1">1</definedName>
    <definedName name="solver_opt" localSheetId="4" hidden="1">'Surface testing results'!$K$16</definedName>
    <definedName name="solver_pre" localSheetId="4" hidden="1">0.000001</definedName>
    <definedName name="solver_scl" localSheetId="4" hidden="1">2</definedName>
    <definedName name="solver_sho" localSheetId="4" hidden="1">2</definedName>
    <definedName name="solver_tim" localSheetId="4" hidden="1">100</definedName>
    <definedName name="solver_tol" localSheetId="4" hidden="1">0.05</definedName>
    <definedName name="solver_typ" localSheetId="4" hidden="1">3</definedName>
    <definedName name="solver_val" localSheetId="4" hidden="1">9.492967</definedName>
  </definedNames>
  <calcPr calcId="125725"/>
</workbook>
</file>

<file path=xl/calcChain.xml><?xml version="1.0" encoding="utf-8"?>
<calcChain xmlns="http://schemas.openxmlformats.org/spreadsheetml/2006/main">
  <c r="I17" i="7"/>
  <c r="I18"/>
  <c r="I19"/>
  <c r="I20"/>
  <c r="I21"/>
  <c r="I22"/>
  <c r="I23"/>
  <c r="I24"/>
  <c r="I16"/>
  <c r="K16"/>
  <c r="K17"/>
  <c r="K18"/>
  <c r="K19"/>
  <c r="K20"/>
  <c r="K21"/>
  <c r="K22"/>
  <c r="K23"/>
  <c r="K24"/>
  <c r="I8" i="12"/>
  <c r="H8"/>
  <c r="L4"/>
  <c r="K4"/>
  <c r="K7" i="7"/>
  <c r="K6"/>
  <c r="E81" i="11"/>
  <c r="E75"/>
  <c r="E68"/>
  <c r="E62"/>
  <c r="E55"/>
  <c r="E49"/>
  <c r="E42"/>
  <c r="E36"/>
  <c r="E29"/>
  <c r="E23"/>
  <c r="E16"/>
  <c r="E10"/>
  <c r="Y158" i="6" l="1"/>
  <c r="Y159"/>
  <c r="Y160"/>
  <c r="V161"/>
  <c r="U161"/>
  <c r="U160"/>
  <c r="U159"/>
  <c r="U158"/>
  <c r="U157"/>
  <c r="U162"/>
  <c r="Y117"/>
  <c r="Y45"/>
  <c r="O116"/>
  <c r="AA15"/>
  <c r="AB15"/>
  <c r="AC15"/>
  <c r="AD13" s="1"/>
  <c r="AE13" s="1"/>
  <c r="AD2"/>
  <c r="V201"/>
  <c r="T161"/>
  <c r="U121"/>
  <c r="Y200"/>
  <c r="Y201"/>
  <c r="Y202"/>
  <c r="Y203"/>
  <c r="Y204"/>
  <c r="Y199"/>
  <c r="Y49"/>
  <c r="Y51"/>
  <c r="Y46"/>
  <c r="Y47"/>
  <c r="O244"/>
  <c r="O246"/>
  <c r="P246" s="1"/>
  <c r="O248"/>
  <c r="P242"/>
  <c r="N242"/>
  <c r="P243"/>
  <c r="P245"/>
  <c r="P247"/>
  <c r="P249"/>
  <c r="P250"/>
  <c r="N250"/>
  <c r="N249"/>
  <c r="N247"/>
  <c r="N245"/>
  <c r="P244"/>
  <c r="N243"/>
  <c r="J11"/>
  <c r="I20"/>
  <c r="I21"/>
  <c r="I19"/>
  <c r="I18"/>
  <c r="I17"/>
  <c r="I16"/>
  <c r="N116"/>
  <c r="W222"/>
  <c r="W221"/>
  <c r="W220"/>
  <c r="W219"/>
  <c r="T219"/>
  <c r="W218"/>
  <c r="T218"/>
  <c r="W217"/>
  <c r="T217"/>
  <c r="W216"/>
  <c r="T216"/>
  <c r="W215"/>
  <c r="T215"/>
  <c r="W214"/>
  <c r="T214"/>
  <c r="W213"/>
  <c r="T213"/>
  <c r="T212"/>
  <c r="V211"/>
  <c r="T211"/>
  <c r="W180"/>
  <c r="T177"/>
  <c r="T176"/>
  <c r="T175"/>
  <c r="T174"/>
  <c r="T173"/>
  <c r="T172"/>
  <c r="T171"/>
  <c r="T170"/>
  <c r="V169"/>
  <c r="T169"/>
  <c r="T178" s="1"/>
  <c r="W140"/>
  <c r="W139"/>
  <c r="W138"/>
  <c r="W137"/>
  <c r="T137"/>
  <c r="W136"/>
  <c r="T136"/>
  <c r="W135"/>
  <c r="T135"/>
  <c r="W134"/>
  <c r="T134"/>
  <c r="W133"/>
  <c r="T133"/>
  <c r="W132"/>
  <c r="T132"/>
  <c r="W131"/>
  <c r="T131"/>
  <c r="T130"/>
  <c r="V129"/>
  <c r="T129"/>
  <c r="T138" s="1"/>
  <c r="H80"/>
  <c r="W102"/>
  <c r="W101"/>
  <c r="W100"/>
  <c r="W99"/>
  <c r="W98"/>
  <c r="W97"/>
  <c r="W96"/>
  <c r="W95"/>
  <c r="W94"/>
  <c r="W93"/>
  <c r="W66"/>
  <c r="M20" i="8"/>
  <c r="I30"/>
  <c r="H30"/>
  <c r="G30"/>
  <c r="E37"/>
  <c r="D37"/>
  <c r="G35"/>
  <c r="E35"/>
  <c r="D35"/>
  <c r="G37"/>
  <c r="G20"/>
  <c r="G18"/>
  <c r="G21"/>
  <c r="G13"/>
  <c r="G14"/>
  <c r="G15"/>
  <c r="G16"/>
  <c r="G17"/>
  <c r="G19"/>
  <c r="F12"/>
  <c r="G12"/>
  <c r="E13"/>
  <c r="E14"/>
  <c r="E15"/>
  <c r="E16"/>
  <c r="E17"/>
  <c r="E18"/>
  <c r="E19"/>
  <c r="E20"/>
  <c r="E12"/>
  <c r="D21"/>
  <c r="D13"/>
  <c r="D14"/>
  <c r="D15"/>
  <c r="D16"/>
  <c r="D17"/>
  <c r="D18"/>
  <c r="D19"/>
  <c r="D20"/>
  <c r="D12"/>
  <c r="C21"/>
  <c r="O4"/>
  <c r="O5"/>
  <c r="O6"/>
  <c r="O7"/>
  <c r="O8"/>
  <c r="O9"/>
  <c r="O10"/>
  <c r="O11"/>
  <c r="O3"/>
  <c r="O13"/>
  <c r="N13"/>
  <c r="N12"/>
  <c r="L13"/>
  <c r="L4"/>
  <c r="L5"/>
  <c r="L6"/>
  <c r="L7"/>
  <c r="L8"/>
  <c r="L9"/>
  <c r="L10"/>
  <c r="L11"/>
  <c r="K13"/>
  <c r="K12"/>
  <c r="H12"/>
  <c r="J6" i="6"/>
  <c r="K6" s="1"/>
  <c r="Y157" l="1"/>
  <c r="Y162"/>
  <c r="AD14"/>
  <c r="AE14" s="1"/>
  <c r="J16"/>
  <c r="W103"/>
  <c r="W223"/>
  <c r="E255"/>
  <c r="P251"/>
  <c r="E254"/>
  <c r="E257" s="1"/>
  <c r="E258" s="1"/>
  <c r="P248"/>
  <c r="E256" s="1"/>
  <c r="G256"/>
  <c r="H256"/>
  <c r="F256"/>
  <c r="G254"/>
  <c r="H254"/>
  <c r="G255"/>
  <c r="H255"/>
  <c r="F255"/>
  <c r="T220"/>
  <c r="T91"/>
  <c r="W141"/>
  <c r="T17"/>
  <c r="N117"/>
  <c r="O117" s="1"/>
  <c r="N118"/>
  <c r="O118" s="1"/>
  <c r="N119"/>
  <c r="O119" s="1"/>
  <c r="N120"/>
  <c r="O120" s="1"/>
  <c r="N121"/>
  <c r="O121" s="1"/>
  <c r="N122"/>
  <c r="O122" s="1"/>
  <c r="N123"/>
  <c r="O123" s="1"/>
  <c r="N124"/>
  <c r="O124" s="1"/>
  <c r="K8" i="7"/>
  <c r="K9"/>
  <c r="K10"/>
  <c r="K11"/>
  <c r="K12"/>
  <c r="K13"/>
  <c r="K14"/>
  <c r="H81" i="6"/>
  <c r="T92" s="1"/>
  <c r="H82"/>
  <c r="T93" s="1"/>
  <c r="H83"/>
  <c r="T94" s="1"/>
  <c r="H84"/>
  <c r="T95" s="1"/>
  <c r="H85"/>
  <c r="T96" s="1"/>
  <c r="H86"/>
  <c r="H87"/>
  <c r="T98" s="1"/>
  <c r="H88"/>
  <c r="T99" s="1"/>
  <c r="N202"/>
  <c r="O202" s="1"/>
  <c r="N203"/>
  <c r="O203" s="1"/>
  <c r="N204"/>
  <c r="O204" s="1"/>
  <c r="N205"/>
  <c r="O205" s="1"/>
  <c r="N206"/>
  <c r="O206" s="1"/>
  <c r="N207"/>
  <c r="O207" s="1"/>
  <c r="P207" s="1"/>
  <c r="N208"/>
  <c r="O208" s="1"/>
  <c r="P208" s="1"/>
  <c r="N209"/>
  <c r="O209" s="1"/>
  <c r="P209" s="1"/>
  <c r="N201"/>
  <c r="K166"/>
  <c r="W179" s="1"/>
  <c r="K165"/>
  <c r="W178" s="1"/>
  <c r="K164"/>
  <c r="W177" s="1"/>
  <c r="K163"/>
  <c r="W176" s="1"/>
  <c r="K162"/>
  <c r="W175" s="1"/>
  <c r="K161"/>
  <c r="W174" s="1"/>
  <c r="K160"/>
  <c r="W173" s="1"/>
  <c r="K159"/>
  <c r="W172" s="1"/>
  <c r="K158"/>
  <c r="W171" s="1"/>
  <c r="J51"/>
  <c r="K51" s="1"/>
  <c r="J50"/>
  <c r="K50" s="1"/>
  <c r="J49"/>
  <c r="K49" s="1"/>
  <c r="J48"/>
  <c r="K48" s="1"/>
  <c r="J47"/>
  <c r="K47" s="1"/>
  <c r="J46"/>
  <c r="K46" s="1"/>
  <c r="J45"/>
  <c r="K45" s="1"/>
  <c r="J44"/>
  <c r="K44" s="1"/>
  <c r="J43"/>
  <c r="K43" s="1"/>
  <c r="J7"/>
  <c r="K7" s="1"/>
  <c r="J8"/>
  <c r="K8" s="1"/>
  <c r="J9"/>
  <c r="K9" s="1"/>
  <c r="J10"/>
  <c r="K10" s="1"/>
  <c r="K11"/>
  <c r="E18" s="1"/>
  <c r="J12"/>
  <c r="K12" s="1"/>
  <c r="J13"/>
  <c r="K13" s="1"/>
  <c r="J14"/>
  <c r="K14" s="1"/>
  <c r="P6" i="1"/>
  <c r="P7"/>
  <c r="P8"/>
  <c r="P9"/>
  <c r="P10"/>
  <c r="P11"/>
  <c r="P12"/>
  <c r="P13"/>
  <c r="P5"/>
  <c r="R6"/>
  <c r="R7"/>
  <c r="R8"/>
  <c r="R9"/>
  <c r="R10"/>
  <c r="R11"/>
  <c r="R12"/>
  <c r="R13"/>
  <c r="R5"/>
  <c r="Q6"/>
  <c r="Q7"/>
  <c r="Q8"/>
  <c r="Q9"/>
  <c r="Q10"/>
  <c r="Q11"/>
  <c r="Q12"/>
  <c r="Q13"/>
  <c r="Q5"/>
  <c r="O5"/>
  <c r="O6"/>
  <c r="O7"/>
  <c r="O8"/>
  <c r="O9"/>
  <c r="O10"/>
  <c r="O11"/>
  <c r="O12"/>
  <c r="O13"/>
  <c r="N6"/>
  <c r="N7"/>
  <c r="N8"/>
  <c r="N9"/>
  <c r="N10"/>
  <c r="N11"/>
  <c r="N12"/>
  <c r="N13"/>
  <c r="N5"/>
  <c r="J34" i="4"/>
  <c r="H34"/>
  <c r="I34"/>
  <c r="H46"/>
  <c r="H42"/>
  <c r="H38"/>
  <c r="I38"/>
  <c r="M34"/>
  <c r="N34"/>
  <c r="H29"/>
  <c r="H25"/>
  <c r="H20"/>
  <c r="I20"/>
  <c r="H15"/>
  <c r="H10"/>
  <c r="E7"/>
  <c r="E8"/>
  <c r="E9"/>
  <c r="E11"/>
  <c r="E12"/>
  <c r="E13"/>
  <c r="E14"/>
  <c r="E16"/>
  <c r="E17"/>
  <c r="E18"/>
  <c r="E19"/>
  <c r="E21"/>
  <c r="E22"/>
  <c r="E23"/>
  <c r="E24"/>
  <c r="E26"/>
  <c r="E27"/>
  <c r="E28"/>
  <c r="E30"/>
  <c r="E31"/>
  <c r="E32"/>
  <c r="E33"/>
  <c r="E35"/>
  <c r="E36"/>
  <c r="E37"/>
  <c r="E39"/>
  <c r="E40"/>
  <c r="E41"/>
  <c r="E43"/>
  <c r="E44"/>
  <c r="E45"/>
  <c r="E6"/>
  <c r="D7"/>
  <c r="D8"/>
  <c r="D9"/>
  <c r="D11"/>
  <c r="D12"/>
  <c r="D13"/>
  <c r="D14"/>
  <c r="D16"/>
  <c r="J16" s="1"/>
  <c r="D17"/>
  <c r="D18"/>
  <c r="D19"/>
  <c r="D21"/>
  <c r="D22"/>
  <c r="D23"/>
  <c r="D24"/>
  <c r="D26"/>
  <c r="D27"/>
  <c r="D28"/>
  <c r="D30"/>
  <c r="D31"/>
  <c r="D32"/>
  <c r="D33"/>
  <c r="D35"/>
  <c r="D36"/>
  <c r="D37"/>
  <c r="D39"/>
  <c r="D40"/>
  <c r="D41"/>
  <c r="D43"/>
  <c r="D44"/>
  <c r="D45"/>
  <c r="D6"/>
  <c r="J6" s="1"/>
  <c r="C31"/>
  <c r="I31" s="1"/>
  <c r="C28"/>
  <c r="I28" s="1"/>
  <c r="C7"/>
  <c r="O7" s="1"/>
  <c r="G7" s="1"/>
  <c r="C8"/>
  <c r="O8" s="1"/>
  <c r="G8" s="1"/>
  <c r="C9"/>
  <c r="O9" s="1"/>
  <c r="G9" s="1"/>
  <c r="C11"/>
  <c r="O11" s="1"/>
  <c r="G11" s="1"/>
  <c r="C12"/>
  <c r="O12" s="1"/>
  <c r="G12" s="1"/>
  <c r="C13"/>
  <c r="O13" s="1"/>
  <c r="G13" s="1"/>
  <c r="C14"/>
  <c r="O14" s="1"/>
  <c r="G14" s="1"/>
  <c r="C16"/>
  <c r="O16" s="1"/>
  <c r="G16" s="1"/>
  <c r="C17"/>
  <c r="O17" s="1"/>
  <c r="G17" s="1"/>
  <c r="C18"/>
  <c r="O18" s="1"/>
  <c r="G18" s="1"/>
  <c r="C19"/>
  <c r="O19" s="1"/>
  <c r="G19" s="1"/>
  <c r="C21"/>
  <c r="O21" s="1"/>
  <c r="G21" s="1"/>
  <c r="C22"/>
  <c r="O22" s="1"/>
  <c r="G22" s="1"/>
  <c r="C23"/>
  <c r="O23" s="1"/>
  <c r="G23" s="1"/>
  <c r="C24"/>
  <c r="O24" s="1"/>
  <c r="G24" s="1"/>
  <c r="C26"/>
  <c r="O26" s="1"/>
  <c r="G26" s="1"/>
  <c r="C27"/>
  <c r="O27" s="1"/>
  <c r="G27" s="1"/>
  <c r="O28"/>
  <c r="G28" s="1"/>
  <c r="C30"/>
  <c r="O30" s="1"/>
  <c r="O31"/>
  <c r="G31" s="1"/>
  <c r="G34" s="1"/>
  <c r="C32"/>
  <c r="O32" s="1"/>
  <c r="C33"/>
  <c r="O33" s="1"/>
  <c r="C35"/>
  <c r="O35" s="1"/>
  <c r="G35" s="1"/>
  <c r="C36"/>
  <c r="O36" s="1"/>
  <c r="G36" s="1"/>
  <c r="C37"/>
  <c r="O37" s="1"/>
  <c r="G37" s="1"/>
  <c r="C39"/>
  <c r="O39" s="1"/>
  <c r="G39" s="1"/>
  <c r="C40"/>
  <c r="O40" s="1"/>
  <c r="G40" s="1"/>
  <c r="C41"/>
  <c r="O41" s="1"/>
  <c r="G41" s="1"/>
  <c r="C43"/>
  <c r="O43" s="1"/>
  <c r="G43" s="1"/>
  <c r="C44"/>
  <c r="O44" s="1"/>
  <c r="G44" s="1"/>
  <c r="C45"/>
  <c r="O45" s="1"/>
  <c r="G45" s="1"/>
  <c r="C6"/>
  <c r="O6" s="1"/>
  <c r="G6" s="1"/>
  <c r="G10" s="1"/>
  <c r="J7"/>
  <c r="J8"/>
  <c r="J9"/>
  <c r="J12"/>
  <c r="J13"/>
  <c r="J14"/>
  <c r="J17"/>
  <c r="J18"/>
  <c r="J19"/>
  <c r="J21"/>
  <c r="J22"/>
  <c r="J23"/>
  <c r="J25" s="1"/>
  <c r="J24"/>
  <c r="J26"/>
  <c r="J27"/>
  <c r="J29" s="1"/>
  <c r="J28"/>
  <c r="J30"/>
  <c r="J31"/>
  <c r="J35"/>
  <c r="J36"/>
  <c r="J37"/>
  <c r="J39"/>
  <c r="J42" s="1"/>
  <c r="J40"/>
  <c r="J41"/>
  <c r="J43"/>
  <c r="J46" s="1"/>
  <c r="J44"/>
  <c r="J45"/>
  <c r="M2" i="3"/>
  <c r="M9"/>
  <c r="M8"/>
  <c r="H7"/>
  <c r="H9"/>
  <c r="H11"/>
  <c r="H13"/>
  <c r="H15"/>
  <c r="H17"/>
  <c r="H19"/>
  <c r="H21"/>
  <c r="H23"/>
  <c r="H5"/>
  <c r="E7"/>
  <c r="E9"/>
  <c r="I9" s="1"/>
  <c r="J9" s="1"/>
  <c r="E11"/>
  <c r="I11" s="1"/>
  <c r="J11" s="1"/>
  <c r="E13"/>
  <c r="I13" s="1"/>
  <c r="J13" s="1"/>
  <c r="E15"/>
  <c r="I15" s="1"/>
  <c r="J15" s="1"/>
  <c r="E17"/>
  <c r="I17" s="1"/>
  <c r="J17" s="1"/>
  <c r="E19"/>
  <c r="I19" s="1"/>
  <c r="J19" s="1"/>
  <c r="E21"/>
  <c r="I21" s="1"/>
  <c r="J21" s="1"/>
  <c r="E23"/>
  <c r="I23" s="1"/>
  <c r="J23" s="1"/>
  <c r="E5"/>
  <c r="I5" l="1"/>
  <c r="J5" s="1"/>
  <c r="F254" i="6"/>
  <c r="G257"/>
  <c r="G258" s="1"/>
  <c r="F257"/>
  <c r="H257"/>
  <c r="H258" s="1"/>
  <c r="E215"/>
  <c r="P205"/>
  <c r="P203"/>
  <c r="G215" s="1"/>
  <c r="O125"/>
  <c r="X129" s="1"/>
  <c r="W181"/>
  <c r="X136"/>
  <c r="X132"/>
  <c r="V91"/>
  <c r="U99" s="1"/>
  <c r="O201"/>
  <c r="P201" s="1"/>
  <c r="P206"/>
  <c r="P204"/>
  <c r="P202"/>
  <c r="F214" s="1"/>
  <c r="H89"/>
  <c r="Y94" s="1"/>
  <c r="T97"/>
  <c r="U91"/>
  <c r="U95"/>
  <c r="X137"/>
  <c r="X133"/>
  <c r="C92"/>
  <c r="Y98"/>
  <c r="X97"/>
  <c r="Y97"/>
  <c r="X96"/>
  <c r="S91"/>
  <c r="Y91"/>
  <c r="X99"/>
  <c r="Y99"/>
  <c r="X98"/>
  <c r="C93"/>
  <c r="C94"/>
  <c r="T24"/>
  <c r="U24" s="1"/>
  <c r="T22"/>
  <c r="U22" s="1"/>
  <c r="C19"/>
  <c r="T20"/>
  <c r="U20" s="1"/>
  <c r="K15"/>
  <c r="S57" s="1"/>
  <c r="T18"/>
  <c r="U18" s="1"/>
  <c r="S18"/>
  <c r="G56"/>
  <c r="T56"/>
  <c r="W57"/>
  <c r="D56"/>
  <c r="T58"/>
  <c r="W59"/>
  <c r="T60"/>
  <c r="W61"/>
  <c r="T62"/>
  <c r="W63"/>
  <c r="L158"/>
  <c r="L160"/>
  <c r="L162"/>
  <c r="L164"/>
  <c r="L166"/>
  <c r="F93"/>
  <c r="C18"/>
  <c r="T25"/>
  <c r="U25" s="1"/>
  <c r="T23"/>
  <c r="U23" s="1"/>
  <c r="T21"/>
  <c r="U21" s="1"/>
  <c r="T19"/>
  <c r="U19" s="1"/>
  <c r="F55"/>
  <c r="T55"/>
  <c r="V55"/>
  <c r="K52"/>
  <c r="X57" s="1"/>
  <c r="F57"/>
  <c r="T57"/>
  <c r="U57" s="1"/>
  <c r="W58"/>
  <c r="T59"/>
  <c r="U59" s="1"/>
  <c r="W60"/>
  <c r="D57"/>
  <c r="T61"/>
  <c r="W62"/>
  <c r="T63"/>
  <c r="X63"/>
  <c r="W64"/>
  <c r="L159"/>
  <c r="F171" s="1"/>
  <c r="L161"/>
  <c r="L163"/>
  <c r="L165"/>
  <c r="H214"/>
  <c r="E94"/>
  <c r="E92"/>
  <c r="V17"/>
  <c r="U17" s="1"/>
  <c r="E128"/>
  <c r="F128"/>
  <c r="D128"/>
  <c r="G129"/>
  <c r="F129"/>
  <c r="E129"/>
  <c r="D129"/>
  <c r="E130"/>
  <c r="G130"/>
  <c r="F130"/>
  <c r="D130"/>
  <c r="C20"/>
  <c r="E20"/>
  <c r="F20"/>
  <c r="D20"/>
  <c r="E55"/>
  <c r="E57"/>
  <c r="F56"/>
  <c r="D92"/>
  <c r="D94"/>
  <c r="E93"/>
  <c r="F92"/>
  <c r="F94"/>
  <c r="G172"/>
  <c r="G214"/>
  <c r="F18"/>
  <c r="F19"/>
  <c r="E19"/>
  <c r="D19"/>
  <c r="D55"/>
  <c r="E56"/>
  <c r="D93"/>
  <c r="F215"/>
  <c r="D18"/>
  <c r="E21"/>
  <c r="G128"/>
  <c r="G55"/>
  <c r="G57"/>
  <c r="J10" i="4"/>
  <c r="J38"/>
  <c r="J20"/>
  <c r="G38"/>
  <c r="G46"/>
  <c r="G42"/>
  <c r="G29"/>
  <c r="G25"/>
  <c r="G20"/>
  <c r="G15"/>
  <c r="I6"/>
  <c r="J11"/>
  <c r="J15" s="1"/>
  <c r="I44"/>
  <c r="I41"/>
  <c r="I39"/>
  <c r="I42" s="1"/>
  <c r="I36"/>
  <c r="I27"/>
  <c r="I24"/>
  <c r="I22"/>
  <c r="I19"/>
  <c r="I17"/>
  <c r="I14"/>
  <c r="I12"/>
  <c r="I9"/>
  <c r="I7"/>
  <c r="I45"/>
  <c r="I43"/>
  <c r="I46" s="1"/>
  <c r="I40"/>
  <c r="I37"/>
  <c r="I35"/>
  <c r="I26"/>
  <c r="I23"/>
  <c r="I21"/>
  <c r="I18"/>
  <c r="I16"/>
  <c r="I13"/>
  <c r="I11"/>
  <c r="I8"/>
  <c r="C21" i="6" l="1"/>
  <c r="S21"/>
  <c r="W21"/>
  <c r="S23"/>
  <c r="U5"/>
  <c r="G170"/>
  <c r="F170"/>
  <c r="U86"/>
  <c r="E172"/>
  <c r="U120"/>
  <c r="V120" s="1"/>
  <c r="U7"/>
  <c r="E171"/>
  <c r="H215"/>
  <c r="E170"/>
  <c r="U26"/>
  <c r="X61"/>
  <c r="X59"/>
  <c r="F58"/>
  <c r="F172"/>
  <c r="X94"/>
  <c r="Y95"/>
  <c r="X95"/>
  <c r="Y96"/>
  <c r="X91"/>
  <c r="X92"/>
  <c r="Y93"/>
  <c r="X93"/>
  <c r="X131"/>
  <c r="X135"/>
  <c r="U93"/>
  <c r="U97"/>
  <c r="X215"/>
  <c r="X217"/>
  <c r="X219"/>
  <c r="E213"/>
  <c r="X130"/>
  <c r="X134"/>
  <c r="F258"/>
  <c r="S62"/>
  <c r="S60"/>
  <c r="S19"/>
  <c r="S25"/>
  <c r="W25"/>
  <c r="S59"/>
  <c r="D171"/>
  <c r="G131"/>
  <c r="X214"/>
  <c r="U213"/>
  <c r="U211"/>
  <c r="U170"/>
  <c r="U137"/>
  <c r="U135"/>
  <c r="U133"/>
  <c r="U134"/>
  <c r="U131"/>
  <c r="U172"/>
  <c r="U174"/>
  <c r="U176"/>
  <c r="U212"/>
  <c r="U215"/>
  <c r="U217"/>
  <c r="U219"/>
  <c r="U169"/>
  <c r="U129"/>
  <c r="U132"/>
  <c r="U136"/>
  <c r="U130"/>
  <c r="U171"/>
  <c r="U173"/>
  <c r="U175"/>
  <c r="U177"/>
  <c r="U214"/>
  <c r="U216"/>
  <c r="U218"/>
  <c r="U119"/>
  <c r="U6"/>
  <c r="E95"/>
  <c r="U117"/>
  <c r="U118"/>
  <c r="V118" s="1"/>
  <c r="U82"/>
  <c r="U63"/>
  <c r="U61"/>
  <c r="S58"/>
  <c r="S56"/>
  <c r="S55"/>
  <c r="W19"/>
  <c r="W23"/>
  <c r="S61"/>
  <c r="U84"/>
  <c r="X101"/>
  <c r="U94"/>
  <c r="U98"/>
  <c r="X139"/>
  <c r="D170"/>
  <c r="L167"/>
  <c r="S136"/>
  <c r="S134"/>
  <c r="S132"/>
  <c r="S131"/>
  <c r="S99"/>
  <c r="S98"/>
  <c r="S97"/>
  <c r="S96"/>
  <c r="S95"/>
  <c r="S94"/>
  <c r="S93"/>
  <c r="S92"/>
  <c r="S137"/>
  <c r="S135"/>
  <c r="S133"/>
  <c r="S130"/>
  <c r="Y92"/>
  <c r="Y101" s="1"/>
  <c r="Y212"/>
  <c r="Y136"/>
  <c r="Y134"/>
  <c r="Y132"/>
  <c r="Y129"/>
  <c r="S129"/>
  <c r="Y219"/>
  <c r="Y218"/>
  <c r="Y217"/>
  <c r="Y216"/>
  <c r="Y215"/>
  <c r="Y214"/>
  <c r="Y213"/>
  <c r="Y211"/>
  <c r="Y177"/>
  <c r="Y176"/>
  <c r="Y175"/>
  <c r="Y174"/>
  <c r="Y173"/>
  <c r="Y172"/>
  <c r="Y171"/>
  <c r="Y170"/>
  <c r="Y169"/>
  <c r="Y137"/>
  <c r="Y135"/>
  <c r="Y133"/>
  <c r="Y131"/>
  <c r="Y130"/>
  <c r="E214"/>
  <c r="X213"/>
  <c r="X211"/>
  <c r="X177"/>
  <c r="X176"/>
  <c r="X175"/>
  <c r="X174"/>
  <c r="X173"/>
  <c r="X172"/>
  <c r="X171"/>
  <c r="X170"/>
  <c r="X169"/>
  <c r="X212"/>
  <c r="U45"/>
  <c r="S176"/>
  <c r="S177"/>
  <c r="T100"/>
  <c r="U92"/>
  <c r="U96"/>
  <c r="X216"/>
  <c r="X218"/>
  <c r="U83"/>
  <c r="V86"/>
  <c r="V82"/>
  <c r="F21"/>
  <c r="D95"/>
  <c r="D58"/>
  <c r="U49"/>
  <c r="C95"/>
  <c r="U55"/>
  <c r="T64"/>
  <c r="S17"/>
  <c r="W17"/>
  <c r="G171"/>
  <c r="U46"/>
  <c r="U8"/>
  <c r="D172"/>
  <c r="D173" s="1"/>
  <c r="U62"/>
  <c r="U60"/>
  <c r="U58"/>
  <c r="U56"/>
  <c r="W20"/>
  <c r="S24"/>
  <c r="W24"/>
  <c r="W65"/>
  <c r="S63"/>
  <c r="S64" s="1"/>
  <c r="U47"/>
  <c r="G173"/>
  <c r="X55"/>
  <c r="T26"/>
  <c r="X62"/>
  <c r="X60"/>
  <c r="X58"/>
  <c r="W67"/>
  <c r="X56"/>
  <c r="W18"/>
  <c r="S20"/>
  <c r="S22"/>
  <c r="W22"/>
  <c r="E173"/>
  <c r="F95"/>
  <c r="D131"/>
  <c r="E131"/>
  <c r="F131"/>
  <c r="E58"/>
  <c r="D21"/>
  <c r="D22" s="1"/>
  <c r="G58"/>
  <c r="G59" s="1"/>
  <c r="I29" i="4"/>
  <c r="I25"/>
  <c r="I15"/>
  <c r="I10"/>
  <c r="U10" i="6" l="1"/>
  <c r="Y7"/>
  <c r="V5"/>
  <c r="U9"/>
  <c r="Y9" s="1"/>
  <c r="V8"/>
  <c r="Y8"/>
  <c r="V6"/>
  <c r="Y6"/>
  <c r="U64"/>
  <c r="W82"/>
  <c r="X82" s="1"/>
  <c r="U100"/>
  <c r="S175"/>
  <c r="S170"/>
  <c r="S173"/>
  <c r="W118"/>
  <c r="X118" s="1"/>
  <c r="V7"/>
  <c r="W7" s="1"/>
  <c r="X7" s="1"/>
  <c r="Y221"/>
  <c r="V157"/>
  <c r="S138"/>
  <c r="S100"/>
  <c r="V158"/>
  <c r="V160"/>
  <c r="U87"/>
  <c r="Y83" s="1"/>
  <c r="V117"/>
  <c r="W117" s="1"/>
  <c r="X117" s="1"/>
  <c r="V84"/>
  <c r="W84" s="1"/>
  <c r="X84" s="1"/>
  <c r="V119"/>
  <c r="W119" s="1"/>
  <c r="X119" s="1"/>
  <c r="F213"/>
  <c r="P210"/>
  <c r="S211" s="1"/>
  <c r="G213"/>
  <c r="H213"/>
  <c r="X221"/>
  <c r="V159"/>
  <c r="U138"/>
  <c r="F96"/>
  <c r="V83"/>
  <c r="W83" s="1"/>
  <c r="X83" s="1"/>
  <c r="U51"/>
  <c r="X179"/>
  <c r="Y179"/>
  <c r="Y139"/>
  <c r="S169"/>
  <c r="S171"/>
  <c r="S174"/>
  <c r="U178"/>
  <c r="U220"/>
  <c r="S172"/>
  <c r="W91"/>
  <c r="E132"/>
  <c r="V45"/>
  <c r="V47"/>
  <c r="V46"/>
  <c r="W55"/>
  <c r="V49"/>
  <c r="X64"/>
  <c r="W26"/>
  <c r="F173"/>
  <c r="S26"/>
  <c r="D132"/>
  <c r="G132"/>
  <c r="D174"/>
  <c r="E174"/>
  <c r="E22"/>
  <c r="C22"/>
  <c r="F132"/>
  <c r="D96"/>
  <c r="E96"/>
  <c r="G174"/>
  <c r="C96"/>
  <c r="F174"/>
  <c r="F22"/>
  <c r="D59"/>
  <c r="F59"/>
  <c r="E59"/>
  <c r="W5" l="1"/>
  <c r="X5" s="1"/>
  <c r="V10"/>
  <c r="Z5" s="1"/>
  <c r="AA5" s="1"/>
  <c r="W6"/>
  <c r="X6" s="1"/>
  <c r="Y5"/>
  <c r="Y84"/>
  <c r="Y82"/>
  <c r="U199"/>
  <c r="G216"/>
  <c r="U202"/>
  <c r="F216"/>
  <c r="S178"/>
  <c r="Y86"/>
  <c r="U201"/>
  <c r="H216"/>
  <c r="S217"/>
  <c r="S219"/>
  <c r="S218"/>
  <c r="S213"/>
  <c r="S214"/>
  <c r="S212"/>
  <c r="S215"/>
  <c r="S220" s="1"/>
  <c r="S216"/>
  <c r="E216"/>
  <c r="E217" s="1"/>
  <c r="U200"/>
  <c r="W169"/>
  <c r="Y87"/>
  <c r="W49"/>
  <c r="W46" s="1"/>
  <c r="X46" s="1"/>
  <c r="Z6" l="1"/>
  <c r="AA6" s="1"/>
  <c r="W157"/>
  <c r="X157" s="1"/>
  <c r="W45"/>
  <c r="X45" s="1"/>
  <c r="U203"/>
  <c r="V202"/>
  <c r="V203" s="1"/>
  <c r="W211"/>
  <c r="U204"/>
  <c r="V199"/>
  <c r="W199" s="1"/>
  <c r="X199" s="1"/>
  <c r="V200"/>
  <c r="W200" s="1"/>
  <c r="X200" s="1"/>
  <c r="G217"/>
  <c r="F217"/>
  <c r="H217"/>
  <c r="W47"/>
  <c r="X47" s="1"/>
  <c r="V9" l="1"/>
  <c r="AC2"/>
  <c r="Y121"/>
  <c r="W129"/>
  <c r="Y119"/>
  <c r="Y118"/>
  <c r="Y120"/>
</calcChain>
</file>

<file path=xl/sharedStrings.xml><?xml version="1.0" encoding="utf-8"?>
<sst xmlns="http://schemas.openxmlformats.org/spreadsheetml/2006/main" count="995" uniqueCount="269">
  <si>
    <t>Experimental design</t>
  </si>
  <si>
    <t>Trial #</t>
  </si>
  <si>
    <t>Description</t>
  </si>
  <si>
    <t>Completed?</t>
  </si>
  <si>
    <t>Yield strength (Ma)</t>
  </si>
  <si>
    <t>% eleongation</t>
  </si>
  <si>
    <r>
      <t>Average Ra (</t>
    </r>
    <r>
      <rPr>
        <sz val="11"/>
        <color theme="1"/>
        <rFont val="Calibri"/>
        <family val="2"/>
      </rPr>
      <t>μm)</t>
    </r>
  </si>
  <si>
    <t>ZP131-Isomol 200-AZ91 -T=690</t>
  </si>
  <si>
    <t>ZP131-CMS Zircoat 200-SC1 -T=730</t>
  </si>
  <si>
    <t>ZP131-CMS Magcoat -A356 -T=770</t>
  </si>
  <si>
    <t>ZCast-Isomol 200-SC1 -T=770</t>
  </si>
  <si>
    <t>ZCast-CMS Zircoat -A356 -T=690</t>
  </si>
  <si>
    <t>ZCast-CMS Magcoat -AZ91 -T=730</t>
  </si>
  <si>
    <t>Trad mold-Isomol 200-A356 -T=730</t>
  </si>
  <si>
    <t>Trad mold-CMS Zircoat-AZ91 -T=770</t>
  </si>
  <si>
    <t>Trad mold-CMS Magcoat-SC1 -T=690</t>
  </si>
  <si>
    <t>Yes</t>
  </si>
  <si>
    <t>Casting</t>
  </si>
  <si>
    <t>Molds make</t>
  </si>
  <si>
    <t>Zp131 x 2</t>
  </si>
  <si>
    <t>Zcast x 2</t>
  </si>
  <si>
    <t>4 Traditional molds</t>
  </si>
  <si>
    <t>Wednesday</t>
  </si>
  <si>
    <t>Thursday</t>
  </si>
  <si>
    <t>Friday</t>
  </si>
  <si>
    <t>Coated</t>
  </si>
  <si>
    <t>Uncoated</t>
  </si>
  <si>
    <t>Striking velocity = 5m/s</t>
  </si>
  <si>
    <t>Rough figure</t>
  </si>
  <si>
    <t>Harness testing</t>
  </si>
  <si>
    <t>1A</t>
  </si>
  <si>
    <t>1B</t>
  </si>
  <si>
    <t>Dia 1</t>
  </si>
  <si>
    <t>Dia 2</t>
  </si>
  <si>
    <t>Read1</t>
  </si>
  <si>
    <t>Read2</t>
  </si>
  <si>
    <t>Ave</t>
  </si>
  <si>
    <t>Total ave</t>
  </si>
  <si>
    <t>BHW</t>
  </si>
  <si>
    <t>Force</t>
  </si>
  <si>
    <t>D</t>
  </si>
  <si>
    <t>Constant</t>
  </si>
  <si>
    <t>2*force</t>
  </si>
  <si>
    <t>pi D^2</t>
  </si>
  <si>
    <t>Brinell hard - 10mm ball</t>
  </si>
  <si>
    <t>500 kg force</t>
  </si>
  <si>
    <t>UTS (Mpa) (ave)</t>
  </si>
  <si>
    <t xml:space="preserve"> Uncloated tensile Results</t>
  </si>
  <si>
    <t xml:space="preserve"> coated tensile Results</t>
  </si>
  <si>
    <t>Details:</t>
  </si>
  <si>
    <t>Brinell hardness tester</t>
  </si>
  <si>
    <t xml:space="preserve">500 Kg load </t>
  </si>
  <si>
    <t>10mm ball</t>
  </si>
  <si>
    <t>-Used scope to measure diameter</t>
  </si>
  <si>
    <t>Trial</t>
  </si>
  <si>
    <t>Number</t>
  </si>
  <si>
    <t>Imapct energy</t>
  </si>
  <si>
    <t>(J)</t>
  </si>
  <si>
    <t xml:space="preserve">(rough) </t>
  </si>
  <si>
    <t xml:space="preserve">Trail </t>
  </si>
  <si>
    <t>number</t>
  </si>
  <si>
    <t xml:space="preserve">Gauge </t>
  </si>
  <si>
    <t>dia. (mm)</t>
  </si>
  <si>
    <t xml:space="preserve">Force at </t>
  </si>
  <si>
    <t>break</t>
  </si>
  <si>
    <t xml:space="preserve">UTS </t>
  </si>
  <si>
    <t>(Mpa)</t>
  </si>
  <si>
    <t>Yeild</t>
  </si>
  <si>
    <t xml:space="preserve">Ext </t>
  </si>
  <si>
    <t>(%)</t>
  </si>
  <si>
    <t>2A</t>
  </si>
  <si>
    <t>2B</t>
  </si>
  <si>
    <t>3C</t>
  </si>
  <si>
    <t>4D</t>
  </si>
  <si>
    <t>2C</t>
  </si>
  <si>
    <t>2D</t>
  </si>
  <si>
    <t>3A</t>
  </si>
  <si>
    <t>3B</t>
  </si>
  <si>
    <t>3D</t>
  </si>
  <si>
    <t>4A</t>
  </si>
  <si>
    <t>4B</t>
  </si>
  <si>
    <t>4C</t>
  </si>
  <si>
    <t>5A</t>
  </si>
  <si>
    <t>5B</t>
  </si>
  <si>
    <t>5D</t>
  </si>
  <si>
    <t>Gauge</t>
  </si>
  <si>
    <t xml:space="preserve">Length </t>
  </si>
  <si>
    <t>Extension</t>
  </si>
  <si>
    <t>9A</t>
  </si>
  <si>
    <t>9B</t>
  </si>
  <si>
    <t>9C</t>
  </si>
  <si>
    <t>8A</t>
  </si>
  <si>
    <t>8B</t>
  </si>
  <si>
    <t>8C</t>
  </si>
  <si>
    <t>7A</t>
  </si>
  <si>
    <t>7B</t>
  </si>
  <si>
    <t>7C</t>
  </si>
  <si>
    <t>6D</t>
  </si>
  <si>
    <t>6C</t>
  </si>
  <si>
    <t>6B</t>
  </si>
  <si>
    <t>6A</t>
  </si>
  <si>
    <t>Dia mm</t>
  </si>
  <si>
    <t>Uts</t>
  </si>
  <si>
    <t>Newtons</t>
  </si>
  <si>
    <t>1C</t>
  </si>
  <si>
    <t>1D</t>
  </si>
  <si>
    <t>mm</t>
  </si>
  <si>
    <t>Surface roughness</t>
  </si>
  <si>
    <t>Impact testing</t>
  </si>
  <si>
    <t>Yeild force</t>
  </si>
  <si>
    <t>(m)</t>
  </si>
  <si>
    <t xml:space="preserve">Taguchi design </t>
  </si>
  <si>
    <t>Responses</t>
  </si>
  <si>
    <t>SNL</t>
  </si>
  <si>
    <t xml:space="preserve">Experimental desing </t>
  </si>
  <si>
    <t>Trail no.</t>
  </si>
  <si>
    <t xml:space="preserve">Mold </t>
  </si>
  <si>
    <t>Material</t>
  </si>
  <si>
    <t>Coating</t>
  </si>
  <si>
    <t xml:space="preserve">Alloy </t>
  </si>
  <si>
    <t>type</t>
  </si>
  <si>
    <t>Temperature</t>
  </si>
  <si>
    <t>ZP131</t>
  </si>
  <si>
    <t>ZCAST</t>
  </si>
  <si>
    <t>SILICA</t>
  </si>
  <si>
    <t>ISOMOL</t>
  </si>
  <si>
    <t>ZIRCOAT</t>
  </si>
  <si>
    <t>MAGCOAT</t>
  </si>
  <si>
    <t>AZ91D</t>
  </si>
  <si>
    <t>SC1</t>
  </si>
  <si>
    <t>A356</t>
  </si>
  <si>
    <t>Average</t>
  </si>
  <si>
    <t xml:space="preserve">Tensile testing </t>
  </si>
  <si>
    <t>UTS (Mpa)</t>
  </si>
  <si>
    <t>S/N</t>
  </si>
  <si>
    <t>Yield Strength (Mpa)</t>
  </si>
  <si>
    <t>Elongation %</t>
  </si>
  <si>
    <t>Brinell</t>
  </si>
  <si>
    <t xml:space="preserve">Average </t>
  </si>
  <si>
    <t xml:space="preserve">Brinell </t>
  </si>
  <si>
    <t xml:space="preserve">Joules </t>
  </si>
  <si>
    <t>Surface testing</t>
  </si>
  <si>
    <t xml:space="preserve">Surface testing </t>
  </si>
  <si>
    <t xml:space="preserve">Experimenal </t>
  </si>
  <si>
    <t>Level</t>
  </si>
  <si>
    <t>Δ</t>
  </si>
  <si>
    <t>Rank</t>
  </si>
  <si>
    <t>ZCAST501</t>
  </si>
  <si>
    <t>Silica Sand</t>
  </si>
  <si>
    <t>690°C</t>
  </si>
  <si>
    <t>730°C</t>
  </si>
  <si>
    <t>770°C</t>
  </si>
  <si>
    <t>Temp</t>
  </si>
  <si>
    <r>
      <t>Ra (</t>
    </r>
    <r>
      <rPr>
        <b/>
        <sz val="11"/>
        <color theme="1"/>
        <rFont val="Calibri"/>
        <family val="2"/>
      </rPr>
      <t>µ</t>
    </r>
    <r>
      <rPr>
        <b/>
        <sz val="9.35"/>
        <color theme="1"/>
        <rFont val="Calibri"/>
        <family val="2"/>
      </rPr>
      <t>m)</t>
    </r>
  </si>
  <si>
    <t xml:space="preserve">ANOVA </t>
  </si>
  <si>
    <t>Source</t>
  </si>
  <si>
    <t>Mold coating</t>
  </si>
  <si>
    <t>Alloy</t>
  </si>
  <si>
    <t>Error</t>
  </si>
  <si>
    <t>Total</t>
  </si>
  <si>
    <t>DOF</t>
  </si>
  <si>
    <t>SS</t>
  </si>
  <si>
    <t>F-ratio</t>
  </si>
  <si>
    <t>% contribution</t>
  </si>
  <si>
    <t>SS'</t>
  </si>
  <si>
    <t xml:space="preserve">Ultimate tensile strength </t>
  </si>
  <si>
    <t>Sse</t>
  </si>
  <si>
    <t>SSt</t>
  </si>
  <si>
    <t>Variance</t>
  </si>
  <si>
    <t>(off SS)</t>
  </si>
  <si>
    <t>F-Crit (90 % con)</t>
  </si>
  <si>
    <t>−0.0260</t>
  </si>
  <si>
    <t>−0.0174</t>
  </si>
  <si>
    <t>−0.1293</t>
  </si>
  <si>
    <t>−0.0733</t>
  </si>
  <si>
    <t>−0.0087</t>
  </si>
  <si>
    <t>−0.0864</t>
  </si>
  <si>
    <t>−0.0476</t>
  </si>
  <si>
    <t>−2.6131</t>
  </si>
  <si>
    <t>−2.2454</t>
  </si>
  <si>
    <t>−2.4292</t>
  </si>
  <si>
    <t>−0.3823</t>
  </si>
  <si>
    <t>−0.4979</t>
  </si>
  <si>
    <t>−0.4401</t>
  </si>
  <si>
    <t>−0.3156</t>
  </si>
  <si>
    <t>−0.4238</t>
  </si>
  <si>
    <t>−0.3697</t>
  </si>
  <si>
    <t>−4.6548</t>
  </si>
  <si>
    <t>−2.3521</t>
  </si>
  <si>
    <t>−3.5035</t>
  </si>
  <si>
    <t>−1.1913</t>
  </si>
  <si>
    <t>−1.7058</t>
  </si>
  <si>
    <t>−1.4485</t>
  </si>
  <si>
    <t>−0.6363</t>
  </si>
  <si>
    <t>−0.2483</t>
  </si>
  <si>
    <t>−0.4423</t>
  </si>
  <si>
    <t>Sum</t>
  </si>
  <si>
    <t>yi</t>
  </si>
  <si>
    <t>yi^2</t>
  </si>
  <si>
    <t xml:space="preserve"> Mold Material (Error)</t>
  </si>
  <si>
    <t xml:space="preserve"> (Error)</t>
  </si>
  <si>
    <t>Pooled
 Mold Material (Error)</t>
  </si>
  <si>
    <t xml:space="preserve">Yield strength </t>
  </si>
  <si>
    <t>Mold Material (Error)</t>
  </si>
  <si>
    <t>Error Mold coating</t>
  </si>
  <si>
    <t xml:space="preserve"> Mold coating</t>
  </si>
  <si>
    <t>Error Temp</t>
  </si>
  <si>
    <t xml:space="preserve">Mold Material </t>
  </si>
  <si>
    <t>Yes 95%</t>
  </si>
  <si>
    <t xml:space="preserve"> Temp</t>
  </si>
  <si>
    <t>% elongation</t>
  </si>
  <si>
    <t>Pool</t>
  </si>
  <si>
    <t>Error --&gt;</t>
  </si>
  <si>
    <t xml:space="preserve">Rank </t>
  </si>
  <si>
    <t>Significant at 90%</t>
  </si>
  <si>
    <t>No</t>
  </si>
  <si>
    <t>Error Temp (pooled)</t>
  </si>
  <si>
    <t xml:space="preserve">99.99 % conf </t>
  </si>
  <si>
    <t xml:space="preserve">90 % </t>
  </si>
  <si>
    <t>90 %</t>
  </si>
  <si>
    <t>153-170</t>
  </si>
  <si>
    <t>Average grain size</t>
  </si>
  <si>
    <t>Grain</t>
  </si>
  <si>
    <t>ATSM</t>
  </si>
  <si>
    <t>Strength (MPa)</t>
  </si>
  <si>
    <t>Surface</t>
  </si>
  <si>
    <t>Ultimate Tensile</t>
  </si>
  <si>
    <t>Hardness, HB</t>
  </si>
  <si>
    <r>
      <t>Roughness, Ra (</t>
    </r>
    <r>
      <rPr>
        <b/>
        <sz val="11"/>
        <color theme="1"/>
        <rFont val="Calibri"/>
        <family val="2"/>
      </rPr>
      <t>μm)</t>
    </r>
  </si>
  <si>
    <t xml:space="preserve"> Mold coating (pooled)</t>
  </si>
  <si>
    <t>Mold Material (pooled)</t>
  </si>
  <si>
    <t xml:space="preserve"> Temp (pooled)</t>
  </si>
  <si>
    <t>AZ91HP</t>
  </si>
  <si>
    <t>SM1</t>
  </si>
  <si>
    <t>P value</t>
  </si>
  <si>
    <r>
      <t>F</t>
    </r>
    <r>
      <rPr>
        <b/>
        <vertAlign val="subscript"/>
        <sz val="10"/>
        <color rgb="FF000000"/>
        <rFont val="Calibri"/>
        <family val="2"/>
      </rPr>
      <t>Ratio</t>
    </r>
  </si>
  <si>
    <t>Percent contribution</t>
  </si>
  <si>
    <t>Pool Temp</t>
  </si>
  <si>
    <t xml:space="preserve"> Pool Mold coating</t>
  </si>
  <si>
    <t>DF</t>
  </si>
  <si>
    <t>Seq SS</t>
  </si>
  <si>
    <t>Adj SS</t>
  </si>
  <si>
    <t>Adj MS</t>
  </si>
  <si>
    <t>F</t>
  </si>
  <si>
    <t>P</t>
  </si>
  <si>
    <t>Mould</t>
  </si>
  <si>
    <t>*</t>
  </si>
  <si>
    <t xml:space="preserve">Sample </t>
  </si>
  <si>
    <t>Phase</t>
  </si>
  <si>
    <r>
      <t>Indent size (</t>
    </r>
    <r>
      <rPr>
        <sz val="11"/>
        <color theme="1"/>
        <rFont val="Calibri"/>
        <family val="2"/>
      </rPr>
      <t>μm)</t>
    </r>
  </si>
  <si>
    <t>Knoop hardness, HK</t>
  </si>
  <si>
    <t>143MPa</t>
  </si>
  <si>
    <t>α</t>
  </si>
  <si>
    <t>β</t>
  </si>
  <si>
    <t>125MPa</t>
  </si>
  <si>
    <t>153MPa</t>
  </si>
  <si>
    <t>150MPa</t>
  </si>
  <si>
    <t>137MPa</t>
  </si>
  <si>
    <t>UTS</t>
  </si>
  <si>
    <t>Mpa</t>
  </si>
  <si>
    <t>153 Mpa</t>
  </si>
  <si>
    <t>Knoop Hardness</t>
  </si>
  <si>
    <t>Reading 1</t>
  </si>
  <si>
    <t>Reading 2</t>
  </si>
  <si>
    <t>Reading 3</t>
  </si>
  <si>
    <t>Trail</t>
  </si>
  <si>
    <t>Length</t>
  </si>
  <si>
    <t>Force at</t>
  </si>
  <si>
    <t>Ext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</si>
</sst>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.35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vertAlign val="subscript"/>
      <sz val="10"/>
      <color rgb="FF000000"/>
      <name val="Calibri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u/>
      <sz val="11"/>
      <color theme="10"/>
      <name val="Calibri"/>
      <family val="2"/>
    </font>
    <font>
      <sz val="11"/>
      <color rgb="FF000000"/>
      <name val="Verdana"/>
      <family val="2"/>
    </font>
    <font>
      <b/>
      <sz val="11"/>
      <name val="Calibri"/>
      <family val="2"/>
      <scheme val="minor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/>
    <xf numFmtId="0" fontId="0" fillId="2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wrapText="1"/>
    </xf>
    <xf numFmtId="0" fontId="2" fillId="3" borderId="6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0" fillId="0" borderId="11" xfId="0" applyFill="1" applyBorder="1"/>
    <xf numFmtId="0" fontId="0" fillId="0" borderId="5" xfId="0" applyBorder="1"/>
    <xf numFmtId="0" fontId="3" fillId="0" borderId="1" xfId="0" applyFont="1" applyBorder="1"/>
    <xf numFmtId="2" fontId="0" fillId="0" borderId="0" xfId="0" applyNumberFormat="1"/>
    <xf numFmtId="0" fontId="0" fillId="0" borderId="0" xfId="0" quotePrefix="1"/>
    <xf numFmtId="0" fontId="3" fillId="0" borderId="0" xfId="0" applyFont="1"/>
    <xf numFmtId="2" fontId="0" fillId="4" borderId="13" xfId="0" applyNumberFormat="1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0" xfId="0" applyNumberFormat="1" applyFill="1"/>
    <xf numFmtId="2" fontId="0" fillId="0" borderId="0" xfId="0" applyNumberFormat="1" applyFill="1" applyBorder="1"/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10" xfId="0" applyFont="1" applyBorder="1"/>
    <xf numFmtId="0" fontId="0" fillId="0" borderId="10" xfId="0" applyBorder="1" applyAlignment="1">
      <alignment horizontal="center"/>
    </xf>
    <xf numFmtId="0" fontId="3" fillId="4" borderId="0" xfId="0" applyFont="1" applyFill="1"/>
    <xf numFmtId="0" fontId="0" fillId="0" borderId="10" xfId="0" applyBorder="1" applyAlignment="1">
      <alignment horizontal="center"/>
    </xf>
    <xf numFmtId="2" fontId="0" fillId="0" borderId="35" xfId="0" applyNumberFormat="1" applyFont="1" applyBorder="1" applyAlignment="1">
      <alignment horizontal="center"/>
    </xf>
    <xf numFmtId="2" fontId="0" fillId="5" borderId="35" xfId="0" applyNumberFormat="1" applyFont="1" applyFill="1" applyBorder="1" applyAlignment="1">
      <alignment horizontal="center"/>
    </xf>
    <xf numFmtId="2" fontId="0" fillId="5" borderId="35" xfId="0" applyNumberFormat="1" applyFill="1" applyBorder="1"/>
    <xf numFmtId="2" fontId="0" fillId="0" borderId="31" xfId="0" applyNumberFormat="1" applyFont="1" applyBorder="1" applyAlignment="1">
      <alignment horizontal="center"/>
    </xf>
    <xf numFmtId="2" fontId="0" fillId="5" borderId="0" xfId="0" applyNumberFormat="1" applyFont="1" applyFill="1" applyBorder="1" applyAlignment="1">
      <alignment horizontal="center"/>
    </xf>
    <xf numFmtId="2" fontId="0" fillId="5" borderId="0" xfId="0" applyNumberFormat="1" applyFill="1" applyBorder="1"/>
    <xf numFmtId="2" fontId="0" fillId="0" borderId="37" xfId="0" applyNumberFormat="1" applyFont="1" applyBorder="1" applyAlignment="1">
      <alignment horizontal="center"/>
    </xf>
    <xf numFmtId="2" fontId="3" fillId="0" borderId="39" xfId="0" applyNumberFormat="1" applyFont="1" applyBorder="1" applyAlignment="1">
      <alignment horizontal="center"/>
    </xf>
    <xf numFmtId="2" fontId="3" fillId="0" borderId="21" xfId="0" applyNumberFormat="1" applyFont="1" applyBorder="1"/>
    <xf numFmtId="2" fontId="0" fillId="0" borderId="34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36" xfId="0" applyNumberFormat="1" applyFont="1" applyBorder="1" applyAlignment="1">
      <alignment horizontal="center"/>
    </xf>
    <xf numFmtId="2" fontId="3" fillId="0" borderId="38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1" fontId="0" fillId="0" borderId="0" xfId="0" applyNumberFormat="1"/>
    <xf numFmtId="2" fontId="0" fillId="0" borderId="0" xfId="0" applyNumberFormat="1" applyFont="1" applyFill="1" applyAlignment="1">
      <alignment horizontal="center"/>
    </xf>
    <xf numFmtId="2" fontId="0" fillId="0" borderId="10" xfId="0" applyNumberFormat="1" applyFont="1" applyBorder="1" applyAlignment="1">
      <alignment horizontal="center"/>
    </xf>
    <xf numFmtId="2" fontId="0" fillId="0" borderId="10" xfId="0" applyNumberFormat="1" applyBorder="1"/>
    <xf numFmtId="0" fontId="0" fillId="0" borderId="10" xfId="0" applyFont="1" applyBorder="1" applyAlignment="1">
      <alignment horizontal="center"/>
    </xf>
    <xf numFmtId="2" fontId="0" fillId="0" borderId="10" xfId="0" applyNumberFormat="1" applyFill="1" applyBorder="1"/>
    <xf numFmtId="2" fontId="0" fillId="0" borderId="10" xfId="0" applyNumberFormat="1" applyFill="1" applyBorder="1" applyAlignment="1">
      <alignment horizontal="center"/>
    </xf>
    <xf numFmtId="0" fontId="0" fillId="0" borderId="10" xfId="0" quotePrefix="1" applyNumberFormat="1" applyFill="1" applyBorder="1" applyAlignment="1">
      <alignment horizontal="center"/>
    </xf>
    <xf numFmtId="2" fontId="0" fillId="0" borderId="10" xfId="0" quotePrefix="1" applyNumberFormat="1" applyFill="1" applyBorder="1"/>
    <xf numFmtId="2" fontId="0" fillId="0" borderId="10" xfId="0" quotePrefix="1" applyNumberFormat="1" applyBorder="1" applyAlignment="1">
      <alignment horizontal="center"/>
    </xf>
    <xf numFmtId="0" fontId="3" fillId="0" borderId="12" xfId="0" applyFont="1" applyBorder="1" applyAlignment="1"/>
    <xf numFmtId="0" fontId="3" fillId="0" borderId="40" xfId="0" applyFont="1" applyBorder="1" applyAlignment="1"/>
    <xf numFmtId="0" fontId="3" fillId="0" borderId="20" xfId="0" applyFont="1" applyBorder="1" applyAlignment="1"/>
    <xf numFmtId="2" fontId="0" fillId="0" borderId="24" xfId="0" applyNumberFormat="1" applyBorder="1"/>
    <xf numFmtId="2" fontId="0" fillId="0" borderId="25" xfId="0" applyNumberFormat="1" applyBorder="1"/>
    <xf numFmtId="2" fontId="0" fillId="0" borderId="29" xfId="0" applyNumberFormat="1" applyBorder="1"/>
    <xf numFmtId="2" fontId="0" fillId="0" borderId="33" xfId="0" applyNumberFormat="1" applyFill="1" applyBorder="1"/>
    <xf numFmtId="0" fontId="0" fillId="0" borderId="10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NumberFormat="1" applyFont="1" applyBorder="1" applyAlignment="1">
      <alignment horizontal="center"/>
    </xf>
    <xf numFmtId="2" fontId="0" fillId="0" borderId="10" xfId="0" applyNumberFormat="1" applyFont="1" applyFill="1" applyBorder="1" applyAlignment="1">
      <alignment horizontal="center"/>
    </xf>
    <xf numFmtId="2" fontId="0" fillId="0" borderId="10" xfId="0" applyNumberFormat="1" applyFill="1" applyBorder="1" applyAlignment="1">
      <alignment horizontal="center" wrapText="1"/>
    </xf>
    <xf numFmtId="2" fontId="3" fillId="0" borderId="10" xfId="0" applyNumberFormat="1" applyFont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center" wrapText="1"/>
    </xf>
    <xf numFmtId="0" fontId="10" fillId="0" borderId="0" xfId="0" applyFont="1" applyFill="1" applyAlignment="1">
      <alignment wrapText="1"/>
    </xf>
    <xf numFmtId="0" fontId="11" fillId="0" borderId="0" xfId="1" applyFill="1" applyAlignment="1" applyProtection="1">
      <alignment horizontal="left" wrapText="1"/>
    </xf>
    <xf numFmtId="0" fontId="11" fillId="0" borderId="0" xfId="1" applyFill="1" applyAlignment="1" applyProtection="1">
      <alignment wrapText="1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0" fillId="0" borderId="37" xfId="0" applyBorder="1"/>
    <xf numFmtId="0" fontId="3" fillId="0" borderId="41" xfId="0" applyFont="1" applyBorder="1"/>
    <xf numFmtId="0" fontId="0" fillId="0" borderId="11" xfId="0" applyBorder="1"/>
    <xf numFmtId="0" fontId="1" fillId="0" borderId="11" xfId="0" applyFont="1" applyBorder="1"/>
    <xf numFmtId="0" fontId="0" fillId="0" borderId="22" xfId="0" applyBorder="1"/>
    <xf numFmtId="0" fontId="0" fillId="0" borderId="21" xfId="0" applyBorder="1"/>
    <xf numFmtId="0" fontId="13" fillId="0" borderId="1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2" fillId="0" borderId="24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19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0" fillId="0" borderId="2" xfId="0" applyNumberFormat="1" applyBorder="1"/>
    <xf numFmtId="2" fontId="0" fillId="0" borderId="0" xfId="0" applyNumberFormat="1" applyBorder="1"/>
    <xf numFmtId="2" fontId="0" fillId="0" borderId="17" xfId="0" applyNumberFormat="1" applyBorder="1"/>
    <xf numFmtId="2" fontId="3" fillId="0" borderId="2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5" xfId="0" applyNumberFormat="1" applyFont="1" applyBorder="1"/>
    <xf numFmtId="2" fontId="3" fillId="0" borderId="6" xfId="0" applyNumberFormat="1" applyFont="1" applyBorder="1"/>
    <xf numFmtId="2" fontId="0" fillId="0" borderId="11" xfId="0" applyNumberFormat="1" applyFill="1" applyBorder="1" applyAlignment="1">
      <alignment horizontal="center"/>
    </xf>
    <xf numFmtId="2" fontId="3" fillId="0" borderId="0" xfId="0" applyNumberFormat="1" applyFont="1"/>
    <xf numFmtId="2" fontId="0" fillId="0" borderId="37" xfId="0" applyNumberFormat="1" applyFill="1" applyBorder="1" applyAlignment="1">
      <alignment horizontal="center"/>
    </xf>
    <xf numFmtId="2" fontId="0" fillId="0" borderId="0" xfId="0" applyNumberFormat="1" applyAlignment="1">
      <alignment horizontal="right"/>
    </xf>
    <xf numFmtId="2" fontId="0" fillId="0" borderId="5" xfId="0" applyNumberFormat="1" applyBorder="1"/>
    <xf numFmtId="2" fontId="1" fillId="0" borderId="5" xfId="0" applyNumberFormat="1" applyFont="1" applyBorder="1" applyAlignment="1">
      <alignment horizontal="right"/>
    </xf>
    <xf numFmtId="2" fontId="0" fillId="0" borderId="6" xfId="0" applyNumberFormat="1" applyBorder="1"/>
    <xf numFmtId="2" fontId="3" fillId="0" borderId="2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0" fillId="0" borderId="3" xfId="0" applyNumberFormat="1" applyBorder="1"/>
    <xf numFmtId="2" fontId="0" fillId="0" borderId="4" xfId="0" applyNumberFormat="1" applyBorder="1"/>
    <xf numFmtId="2" fontId="0" fillId="0" borderId="18" xfId="0" applyNumberFormat="1" applyBorder="1"/>
    <xf numFmtId="2" fontId="3" fillId="0" borderId="14" xfId="0" applyNumberFormat="1" applyFont="1" applyBorder="1"/>
    <xf numFmtId="2" fontId="3" fillId="0" borderId="19" xfId="0" applyNumberFormat="1" applyFont="1" applyBorder="1"/>
    <xf numFmtId="2" fontId="3" fillId="0" borderId="3" xfId="0" applyNumberFormat="1" applyFont="1" applyBorder="1"/>
    <xf numFmtId="2" fontId="3" fillId="0" borderId="4" xfId="0" applyNumberFormat="1" applyFont="1" applyBorder="1"/>
    <xf numFmtId="2" fontId="3" fillId="0" borderId="18" xfId="0" applyNumberFormat="1" applyFont="1" applyBorder="1"/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/>
    <xf numFmtId="2" fontId="0" fillId="0" borderId="28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30" xfId="0" applyNumberFormat="1" applyBorder="1"/>
    <xf numFmtId="2" fontId="3" fillId="0" borderId="19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/>
    <xf numFmtId="2" fontId="0" fillId="0" borderId="0" xfId="0" applyNumberFormat="1" applyBorder="1" applyAlignment="1"/>
    <xf numFmtId="2" fontId="3" fillId="0" borderId="17" xfId="0" applyNumberFormat="1" applyFont="1" applyBorder="1"/>
    <xf numFmtId="2" fontId="0" fillId="0" borderId="7" xfId="0" applyNumberFormat="1" applyBorder="1"/>
    <xf numFmtId="2" fontId="3" fillId="0" borderId="8" xfId="0" applyNumberFormat="1" applyFont="1" applyBorder="1"/>
    <xf numFmtId="2" fontId="3" fillId="0" borderId="9" xfId="0" applyNumberFormat="1" applyFont="1" applyBorder="1"/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3" fillId="0" borderId="15" xfId="0" applyNumberFormat="1" applyFont="1" applyBorder="1"/>
    <xf numFmtId="2" fontId="3" fillId="0" borderId="16" xfId="0" applyNumberFormat="1" applyFont="1" applyBorder="1"/>
    <xf numFmtId="2" fontId="3" fillId="0" borderId="2" xfId="0" applyNumberFormat="1" applyFont="1" applyBorder="1"/>
    <xf numFmtId="2" fontId="0" fillId="0" borderId="19" xfId="0" applyNumberFormat="1" applyBorder="1"/>
    <xf numFmtId="0" fontId="14" fillId="0" borderId="42" xfId="0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44" xfId="0" applyFont="1" applyBorder="1" applyAlignment="1">
      <alignment horizontal="center" vertical="top"/>
    </xf>
    <xf numFmtId="0" fontId="14" fillId="0" borderId="45" xfId="0" applyFont="1" applyBorder="1" applyAlignment="1">
      <alignment horizontal="center" vertical="top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40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2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v>Main effects of S/N ratios</c:v>
          </c:tx>
          <c:cat>
            <c:strRef>
              <c:f>'Experimental design '!$D$24:$F$24</c:f>
              <c:strCache>
                <c:ptCount val="3"/>
                <c:pt idx="0">
                  <c:v>ZP131</c:v>
                </c:pt>
                <c:pt idx="1">
                  <c:v>ZCAST501</c:v>
                </c:pt>
                <c:pt idx="2">
                  <c:v>Silica Sand</c:v>
                </c:pt>
              </c:strCache>
            </c:strRef>
          </c:cat>
          <c:val>
            <c:numRef>
              <c:f>'Experimental design '!$C$18:$C$20</c:f>
              <c:numCache>
                <c:formatCode>0.00</c:formatCode>
                <c:ptCount val="3"/>
                <c:pt idx="0">
                  <c:v>42.75022987285265</c:v>
                </c:pt>
                <c:pt idx="1">
                  <c:v>42.701791655752864</c:v>
                </c:pt>
                <c:pt idx="2">
                  <c:v>41.805988521781209</c:v>
                </c:pt>
              </c:numCache>
            </c:numRef>
          </c:val>
        </c:ser>
        <c:marker val="1"/>
        <c:axId val="107280640"/>
        <c:axId val="107642880"/>
      </c:lineChart>
      <c:catAx>
        <c:axId val="107280640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642880"/>
        <c:crosses val="autoZero"/>
        <c:auto val="1"/>
        <c:lblAlgn val="ctr"/>
        <c:lblOffset val="100"/>
      </c:catAx>
      <c:valAx>
        <c:axId val="107642880"/>
        <c:scaling>
          <c:orientation val="minMax"/>
          <c:min val="41.6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S/N</a:t>
                </a:r>
                <a:r>
                  <a:rPr lang="en-US" baseline="0"/>
                  <a:t> ratio</a:t>
                </a:r>
                <a:endParaRPr lang="en-US"/>
              </a:p>
            </c:rich>
          </c:tx>
        </c:title>
        <c:numFmt formatCode="0.00" sourceLinked="1"/>
        <c:majorTickMark val="none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280640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'!$H$22:$J$22</c:f>
              <c:strCache>
                <c:ptCount val="3"/>
                <c:pt idx="0">
                  <c:v>ISOMOL</c:v>
                </c:pt>
                <c:pt idx="1">
                  <c:v>ZIRCOAT</c:v>
                </c:pt>
                <c:pt idx="2">
                  <c:v>MAGCOAT</c:v>
                </c:pt>
              </c:strCache>
            </c:strRef>
          </c:cat>
          <c:val>
            <c:numRef>
              <c:f>'Experimental design '!$D$92:$D$94</c:f>
              <c:numCache>
                <c:formatCode>0.00</c:formatCode>
                <c:ptCount val="3"/>
                <c:pt idx="0">
                  <c:v>-6.666666666666667</c:v>
                </c:pt>
                <c:pt idx="1">
                  <c:v>-2.6529333911469171</c:v>
                </c:pt>
                <c:pt idx="2">
                  <c:v>-3.2990001445339594</c:v>
                </c:pt>
              </c:numCache>
            </c:numRef>
          </c:val>
        </c:ser>
        <c:marker val="1"/>
        <c:axId val="107883520"/>
        <c:axId val="107889408"/>
      </c:lineChart>
      <c:catAx>
        <c:axId val="107883520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7889408"/>
        <c:crosses val="autoZero"/>
        <c:auto val="1"/>
        <c:lblAlgn val="ctr"/>
        <c:lblOffset val="100"/>
      </c:catAx>
      <c:valAx>
        <c:axId val="107889408"/>
        <c:scaling>
          <c:orientation val="minMax"/>
          <c:max val="-2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7883520"/>
        <c:crosses val="autoZero"/>
        <c:crossBetween val="between"/>
        <c:majorUnit val="1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'!$L$22:$N$22</c:f>
              <c:strCache>
                <c:ptCount val="3"/>
                <c:pt idx="0">
                  <c:v>690°C</c:v>
                </c:pt>
                <c:pt idx="1">
                  <c:v>730°C</c:v>
                </c:pt>
                <c:pt idx="2">
                  <c:v>770°C</c:v>
                </c:pt>
              </c:strCache>
            </c:strRef>
          </c:cat>
          <c:val>
            <c:numRef>
              <c:f>'Experimental design '!$F$92:$F$94</c:f>
              <c:numCache>
                <c:formatCode>0.00</c:formatCode>
                <c:ptCount val="3"/>
                <c:pt idx="0">
                  <c:v>-2.6529333911469171</c:v>
                </c:pt>
                <c:pt idx="1">
                  <c:v>-1.9382002601611275</c:v>
                </c:pt>
                <c:pt idx="2">
                  <c:v>-8.6735333044265417</c:v>
                </c:pt>
              </c:numCache>
            </c:numRef>
          </c:val>
        </c:ser>
        <c:marker val="1"/>
        <c:axId val="107896192"/>
        <c:axId val="107918464"/>
      </c:lineChart>
      <c:catAx>
        <c:axId val="107896192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7918464"/>
        <c:crosses val="autoZero"/>
        <c:auto val="1"/>
        <c:lblAlgn val="ctr"/>
        <c:lblOffset val="100"/>
      </c:catAx>
      <c:valAx>
        <c:axId val="107918464"/>
        <c:scaling>
          <c:orientation val="minMax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896192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'!$H$23:$J$23</c:f>
              <c:strCache>
                <c:ptCount val="3"/>
                <c:pt idx="0">
                  <c:v>AZ91HP</c:v>
                </c:pt>
                <c:pt idx="1">
                  <c:v>SM1</c:v>
                </c:pt>
                <c:pt idx="2">
                  <c:v>A356</c:v>
                </c:pt>
              </c:strCache>
            </c:strRef>
          </c:cat>
          <c:val>
            <c:numRef>
              <c:f>'Experimental design '!$E$92:$E$94</c:f>
              <c:numCache>
                <c:formatCode>0.00</c:formatCode>
                <c:ptCount val="3"/>
                <c:pt idx="0">
                  <c:v>-0.64606675338704245</c:v>
                </c:pt>
                <c:pt idx="1">
                  <c:v>-7.9588001734407525</c:v>
                </c:pt>
                <c:pt idx="2">
                  <c:v>-4.0137332755197495</c:v>
                </c:pt>
              </c:numCache>
            </c:numRef>
          </c:val>
        </c:ser>
        <c:marker val="1"/>
        <c:axId val="107810816"/>
        <c:axId val="107812352"/>
      </c:lineChart>
      <c:catAx>
        <c:axId val="107810816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7812352"/>
        <c:crosses val="autoZero"/>
        <c:auto val="1"/>
        <c:lblAlgn val="ctr"/>
        <c:lblOffset val="100"/>
      </c:catAx>
      <c:valAx>
        <c:axId val="107812352"/>
        <c:scaling>
          <c:orientation val="minMax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81081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'!$D$24:$F$24</c:f>
              <c:strCache>
                <c:ptCount val="3"/>
                <c:pt idx="0">
                  <c:v>ZP131</c:v>
                </c:pt>
                <c:pt idx="1">
                  <c:v>ZCAST501</c:v>
                </c:pt>
                <c:pt idx="2">
                  <c:v>Silica Sand</c:v>
                </c:pt>
              </c:strCache>
            </c:strRef>
          </c:cat>
          <c:val>
            <c:numRef>
              <c:f>'Experimental design '!$D$128:$D$130</c:f>
              <c:numCache>
                <c:formatCode>0.00</c:formatCode>
                <c:ptCount val="3"/>
                <c:pt idx="0">
                  <c:v>-17.392082366788941</c:v>
                </c:pt>
                <c:pt idx="1">
                  <c:v>-23.932493225739492</c:v>
                </c:pt>
                <c:pt idx="2">
                  <c:v>-22.122268319243499</c:v>
                </c:pt>
              </c:numCache>
            </c:numRef>
          </c:val>
        </c:ser>
        <c:marker val="1"/>
        <c:axId val="107843968"/>
        <c:axId val="107845504"/>
      </c:lineChart>
      <c:catAx>
        <c:axId val="107843968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7845504"/>
        <c:crosses val="autoZero"/>
        <c:auto val="1"/>
        <c:lblAlgn val="ctr"/>
        <c:lblOffset val="100"/>
      </c:catAx>
      <c:valAx>
        <c:axId val="107845504"/>
        <c:scaling>
          <c:orientation val="minMax"/>
          <c:max val="-15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843968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'!$H$22:$J$22</c:f>
              <c:strCache>
                <c:ptCount val="3"/>
                <c:pt idx="0">
                  <c:v>ISOMOL</c:v>
                </c:pt>
                <c:pt idx="1">
                  <c:v>ZIRCOAT</c:v>
                </c:pt>
                <c:pt idx="2">
                  <c:v>MAGCOAT</c:v>
                </c:pt>
              </c:strCache>
            </c:strRef>
          </c:cat>
          <c:val>
            <c:numRef>
              <c:f>'Experimental design '!$E$128:$E$130</c:f>
              <c:numCache>
                <c:formatCode>0.00</c:formatCode>
                <c:ptCount val="3"/>
                <c:pt idx="0">
                  <c:v>-23.019366196331656</c:v>
                </c:pt>
                <c:pt idx="1">
                  <c:v>-20.466017246042696</c:v>
                </c:pt>
                <c:pt idx="2">
                  <c:v>-19.961460469397579</c:v>
                </c:pt>
              </c:numCache>
            </c:numRef>
          </c:val>
        </c:ser>
        <c:marker val="1"/>
        <c:axId val="107856640"/>
        <c:axId val="107858176"/>
      </c:lineChart>
      <c:catAx>
        <c:axId val="107856640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7858176"/>
        <c:crosses val="autoZero"/>
        <c:auto val="1"/>
        <c:lblAlgn val="ctr"/>
        <c:lblOffset val="100"/>
      </c:catAx>
      <c:valAx>
        <c:axId val="107858176"/>
        <c:scaling>
          <c:orientation val="minMax"/>
          <c:max val="-18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7856640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'!$H$23:$J$23</c:f>
              <c:strCache>
                <c:ptCount val="3"/>
                <c:pt idx="0">
                  <c:v>AZ91HP</c:v>
                </c:pt>
                <c:pt idx="1">
                  <c:v>SM1</c:v>
                </c:pt>
                <c:pt idx="2">
                  <c:v>A356</c:v>
                </c:pt>
              </c:strCache>
            </c:strRef>
          </c:cat>
          <c:val>
            <c:numRef>
              <c:f>'Experimental design '!$F$128:$F$130</c:f>
              <c:numCache>
                <c:formatCode>0.00</c:formatCode>
                <c:ptCount val="3"/>
                <c:pt idx="0">
                  <c:v>-21.861677703799302</c:v>
                </c:pt>
                <c:pt idx="1">
                  <c:v>-22.069239802771772</c:v>
                </c:pt>
                <c:pt idx="2">
                  <c:v>-19.515926405200862</c:v>
                </c:pt>
              </c:numCache>
            </c:numRef>
          </c:val>
        </c:ser>
        <c:marker val="1"/>
        <c:axId val="108082304"/>
        <c:axId val="108083840"/>
      </c:lineChart>
      <c:catAx>
        <c:axId val="108082304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083840"/>
        <c:crosses val="autoZero"/>
        <c:auto val="1"/>
        <c:lblAlgn val="ctr"/>
        <c:lblOffset val="100"/>
      </c:catAx>
      <c:valAx>
        <c:axId val="108083840"/>
        <c:scaling>
          <c:orientation val="minMax"/>
          <c:max val="-19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808230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'!$L$22:$N$22</c:f>
              <c:strCache>
                <c:ptCount val="3"/>
                <c:pt idx="0">
                  <c:v>690°C</c:v>
                </c:pt>
                <c:pt idx="1">
                  <c:v>730°C</c:v>
                </c:pt>
                <c:pt idx="2">
                  <c:v>770°C</c:v>
                </c:pt>
              </c:strCache>
            </c:strRef>
          </c:cat>
          <c:val>
            <c:numRef>
              <c:f>'Experimental design '!$G$128:$G$130</c:f>
              <c:numCache>
                <c:formatCode>0.00</c:formatCode>
                <c:ptCount val="3"/>
                <c:pt idx="0">
                  <c:v>-20.721756762988282</c:v>
                </c:pt>
                <c:pt idx="1">
                  <c:v>-20.818166629899842</c:v>
                </c:pt>
                <c:pt idx="2">
                  <c:v>-21.906920518883812</c:v>
                </c:pt>
              </c:numCache>
            </c:numRef>
          </c:val>
        </c:ser>
        <c:marker val="1"/>
        <c:axId val="108115456"/>
        <c:axId val="108116992"/>
      </c:lineChart>
      <c:catAx>
        <c:axId val="108115456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116992"/>
        <c:crosses val="autoZero"/>
        <c:auto val="1"/>
        <c:lblAlgn val="ctr"/>
        <c:lblOffset val="100"/>
      </c:catAx>
      <c:valAx>
        <c:axId val="108116992"/>
        <c:scaling>
          <c:orientation val="minMax"/>
          <c:max val="-20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811545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'!$D$24:$F$24</c:f>
              <c:strCache>
                <c:ptCount val="3"/>
                <c:pt idx="0">
                  <c:v>ZP131</c:v>
                </c:pt>
                <c:pt idx="1">
                  <c:v>ZCAST501</c:v>
                </c:pt>
                <c:pt idx="2">
                  <c:v>Silica Sand</c:v>
                </c:pt>
              </c:strCache>
            </c:strRef>
          </c:cat>
          <c:val>
            <c:numRef>
              <c:f>'Experimental design '!$D$170:$D$172</c:f>
              <c:numCache>
                <c:formatCode>0.00</c:formatCode>
                <c:ptCount val="3"/>
                <c:pt idx="0">
                  <c:v>4.1282379704007894</c:v>
                </c:pt>
                <c:pt idx="1">
                  <c:v>3.1332093678108577</c:v>
                </c:pt>
                <c:pt idx="2">
                  <c:v>3.8440957282768697</c:v>
                </c:pt>
              </c:numCache>
            </c:numRef>
          </c:val>
        </c:ser>
        <c:marker val="1"/>
        <c:axId val="108140416"/>
        <c:axId val="108141952"/>
      </c:lineChart>
      <c:catAx>
        <c:axId val="108140416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141952"/>
        <c:crosses val="autoZero"/>
        <c:auto val="1"/>
        <c:lblAlgn val="ctr"/>
        <c:lblOffset val="100"/>
      </c:catAx>
      <c:valAx>
        <c:axId val="108141952"/>
        <c:scaling>
          <c:orientation val="minMax"/>
          <c:min val="3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814041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'!$H$22:$J$22</c:f>
              <c:strCache>
                <c:ptCount val="3"/>
                <c:pt idx="0">
                  <c:v>ISOMOL</c:v>
                </c:pt>
                <c:pt idx="1">
                  <c:v>ZIRCOAT</c:v>
                </c:pt>
                <c:pt idx="2">
                  <c:v>MAGCOAT</c:v>
                </c:pt>
              </c:strCache>
            </c:strRef>
          </c:cat>
          <c:val>
            <c:numRef>
              <c:f>'Experimental design '!$E$170:$E$172</c:f>
              <c:numCache>
                <c:formatCode>0.00</c:formatCode>
                <c:ptCount val="3"/>
                <c:pt idx="0">
                  <c:v>3.717644470653807</c:v>
                </c:pt>
                <c:pt idx="1">
                  <c:v>3.5085241322608431</c:v>
                </c:pt>
                <c:pt idx="2">
                  <c:v>3.8793744635738663</c:v>
                </c:pt>
              </c:numCache>
            </c:numRef>
          </c:val>
        </c:ser>
        <c:marker val="1"/>
        <c:axId val="108189952"/>
        <c:axId val="108191744"/>
      </c:lineChart>
      <c:catAx>
        <c:axId val="108189952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191744"/>
        <c:crosses val="autoZero"/>
        <c:auto val="1"/>
        <c:lblAlgn val="ctr"/>
        <c:lblOffset val="100"/>
      </c:catAx>
      <c:valAx>
        <c:axId val="108191744"/>
        <c:scaling>
          <c:orientation val="minMax"/>
          <c:min val="3.4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189952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'!$H$23:$J$23</c:f>
              <c:strCache>
                <c:ptCount val="3"/>
                <c:pt idx="0">
                  <c:v>AZ91HP</c:v>
                </c:pt>
                <c:pt idx="1">
                  <c:v>SM1</c:v>
                </c:pt>
                <c:pt idx="2">
                  <c:v>A356</c:v>
                </c:pt>
              </c:strCache>
            </c:strRef>
          </c:cat>
          <c:val>
            <c:numRef>
              <c:f>'Experimental design '!$F$170:$F$172</c:f>
              <c:numCache>
                <c:formatCode>0.00</c:formatCode>
                <c:ptCount val="3"/>
                <c:pt idx="0">
                  <c:v>4.7108426611191154</c:v>
                </c:pt>
                <c:pt idx="1">
                  <c:v>8.6173771571214228</c:v>
                </c:pt>
                <c:pt idx="2">
                  <c:v>-2.2226767517520218</c:v>
                </c:pt>
              </c:numCache>
            </c:numRef>
          </c:val>
        </c:ser>
        <c:marker val="1"/>
        <c:axId val="108006016"/>
        <c:axId val="108036480"/>
      </c:lineChart>
      <c:catAx>
        <c:axId val="108006016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036480"/>
        <c:crosses val="autoZero"/>
        <c:auto val="1"/>
        <c:lblAlgn val="ctr"/>
        <c:lblOffset val="100"/>
      </c:catAx>
      <c:valAx>
        <c:axId val="108036480"/>
        <c:scaling>
          <c:orientation val="minMax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800601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'!$H$23:$J$23</c:f>
              <c:strCache>
                <c:ptCount val="3"/>
                <c:pt idx="0">
                  <c:v>AZ91HP</c:v>
                </c:pt>
                <c:pt idx="1">
                  <c:v>SM1</c:v>
                </c:pt>
                <c:pt idx="2">
                  <c:v>A356</c:v>
                </c:pt>
              </c:strCache>
            </c:strRef>
          </c:cat>
          <c:val>
            <c:numRef>
              <c:f>'Experimental design '!$E$18:$E$20</c:f>
              <c:numCache>
                <c:formatCode>0.00</c:formatCode>
                <c:ptCount val="3"/>
                <c:pt idx="0">
                  <c:v>43.172034560436366</c:v>
                </c:pt>
                <c:pt idx="1">
                  <c:v>42.787737583626232</c:v>
                </c:pt>
                <c:pt idx="2">
                  <c:v>41.29823790632414</c:v>
                </c:pt>
              </c:numCache>
            </c:numRef>
          </c:val>
        </c:ser>
        <c:marker val="1"/>
        <c:axId val="107650048"/>
        <c:axId val="107660032"/>
      </c:lineChart>
      <c:catAx>
        <c:axId val="10765004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660032"/>
        <c:crosses val="autoZero"/>
        <c:auto val="1"/>
        <c:lblAlgn val="ctr"/>
        <c:lblOffset val="100"/>
      </c:catAx>
      <c:valAx>
        <c:axId val="107660032"/>
        <c:scaling>
          <c:orientation val="minMax"/>
          <c:min val="41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S/N ratio</a:t>
                </a:r>
              </a:p>
            </c:rich>
          </c:tx>
        </c:title>
        <c:numFmt formatCode="0.00" sourceLinked="1"/>
        <c:majorTickMark val="none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650048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'!$L$22:$N$22</c:f>
              <c:strCache>
                <c:ptCount val="3"/>
                <c:pt idx="0">
                  <c:v>690°C</c:v>
                </c:pt>
                <c:pt idx="1">
                  <c:v>730°C</c:v>
                </c:pt>
                <c:pt idx="2">
                  <c:v>770°C</c:v>
                </c:pt>
              </c:strCache>
            </c:strRef>
          </c:cat>
          <c:val>
            <c:numRef>
              <c:f>'Experimental design '!$G$170:$G$172</c:f>
              <c:numCache>
                <c:formatCode>0.00</c:formatCode>
                <c:ptCount val="3"/>
                <c:pt idx="0">
                  <c:v>5.2797157569061595</c:v>
                </c:pt>
                <c:pt idx="1">
                  <c:v>3.0175987017055683</c:v>
                </c:pt>
                <c:pt idx="2">
                  <c:v>2.80822860787679</c:v>
                </c:pt>
              </c:numCache>
            </c:numRef>
          </c:val>
        </c:ser>
        <c:marker val="1"/>
        <c:axId val="108043264"/>
        <c:axId val="108057344"/>
      </c:lineChart>
      <c:catAx>
        <c:axId val="108043264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057344"/>
        <c:crosses val="autoZero"/>
        <c:auto val="1"/>
        <c:lblAlgn val="ctr"/>
        <c:lblOffset val="100"/>
      </c:catAx>
      <c:valAx>
        <c:axId val="108057344"/>
        <c:scaling>
          <c:orientation val="minMax"/>
          <c:min val="2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804326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'!$D$24:$F$24</c:f>
              <c:strCache>
                <c:ptCount val="3"/>
                <c:pt idx="0">
                  <c:v>ZP131</c:v>
                </c:pt>
                <c:pt idx="1">
                  <c:v>ZCAST501</c:v>
                </c:pt>
                <c:pt idx="2">
                  <c:v>Silica Sand</c:v>
                </c:pt>
              </c:strCache>
            </c:strRef>
          </c:cat>
          <c:val>
            <c:numRef>
              <c:f>'Experimental design '!$E$213:$E$215</c:f>
              <c:numCache>
                <c:formatCode>0.00</c:formatCode>
                <c:ptCount val="3"/>
                <c:pt idx="0">
                  <c:v>34.795056638081569</c:v>
                </c:pt>
                <c:pt idx="1">
                  <c:v>35.257285153280527</c:v>
                </c:pt>
                <c:pt idx="2">
                  <c:v>34.348021756360993</c:v>
                </c:pt>
              </c:numCache>
            </c:numRef>
          </c:val>
        </c:ser>
        <c:marker val="1"/>
        <c:axId val="69746688"/>
        <c:axId val="69748608"/>
      </c:lineChart>
      <c:catAx>
        <c:axId val="69746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Mould material</a:t>
                </a:r>
              </a:p>
            </c:rich>
          </c:tx>
        </c:title>
        <c:numFmt formatCode="General" sourceLinked="1"/>
        <c:majorTickMark val="none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69748608"/>
        <c:crosses val="autoZero"/>
        <c:auto val="1"/>
        <c:lblAlgn val="ctr"/>
        <c:lblOffset val="100"/>
      </c:catAx>
      <c:valAx>
        <c:axId val="69748608"/>
        <c:scaling>
          <c:orientation val="minMax"/>
          <c:min val="34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S/N ratio</a:t>
                </a:r>
              </a:p>
            </c:rich>
          </c:tx>
        </c:title>
        <c:numFmt formatCode="0.00" sourceLinked="1"/>
        <c:majorTickMark val="none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69746688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'!$H$22:$J$22</c:f>
              <c:strCache>
                <c:ptCount val="3"/>
                <c:pt idx="0">
                  <c:v>ISOMOL</c:v>
                </c:pt>
                <c:pt idx="1">
                  <c:v>ZIRCOAT</c:v>
                </c:pt>
                <c:pt idx="2">
                  <c:v>MAGCOAT</c:v>
                </c:pt>
              </c:strCache>
            </c:strRef>
          </c:cat>
          <c:val>
            <c:numRef>
              <c:f>'Experimental design '!$F$213:$F$215</c:f>
              <c:numCache>
                <c:formatCode>0.00</c:formatCode>
                <c:ptCount val="3"/>
                <c:pt idx="0">
                  <c:v>34.431875878812782</c:v>
                </c:pt>
                <c:pt idx="1">
                  <c:v>35.031922598853988</c:v>
                </c:pt>
                <c:pt idx="2">
                  <c:v>34.936565070056311</c:v>
                </c:pt>
              </c:numCache>
            </c:numRef>
          </c:val>
        </c:ser>
        <c:marker val="1"/>
        <c:axId val="69768320"/>
        <c:axId val="69770240"/>
      </c:lineChart>
      <c:catAx>
        <c:axId val="697683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Mould coating</a:t>
                </a:r>
              </a:p>
            </c:rich>
          </c:tx>
        </c:title>
        <c:numFmt formatCode="General" sourceLinked="1"/>
        <c:majorTickMark val="none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69770240"/>
        <c:crosses val="autoZero"/>
        <c:auto val="1"/>
        <c:lblAlgn val="ctr"/>
        <c:lblOffset val="100"/>
      </c:catAx>
      <c:valAx>
        <c:axId val="69770240"/>
        <c:scaling>
          <c:orientation val="minMax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S/N</a:t>
                </a:r>
                <a:r>
                  <a:rPr lang="en-US" baseline="0"/>
                  <a:t> ratio</a:t>
                </a:r>
                <a:endParaRPr lang="en-US"/>
              </a:p>
            </c:rich>
          </c:tx>
        </c:title>
        <c:numFmt formatCode="0.00" sourceLinked="1"/>
        <c:majorTickMark val="none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69768320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'!$H$23:$J$23</c:f>
              <c:strCache>
                <c:ptCount val="3"/>
                <c:pt idx="0">
                  <c:v>AZ91HP</c:v>
                </c:pt>
                <c:pt idx="1">
                  <c:v>SM1</c:v>
                </c:pt>
                <c:pt idx="2">
                  <c:v>A356</c:v>
                </c:pt>
              </c:strCache>
            </c:strRef>
          </c:cat>
          <c:val>
            <c:numRef>
              <c:f>'Experimental design '!$G$213:$G$215</c:f>
              <c:numCache>
                <c:formatCode>0.00</c:formatCode>
                <c:ptCount val="3"/>
                <c:pt idx="0">
                  <c:v>35.27358496733158</c:v>
                </c:pt>
                <c:pt idx="1">
                  <c:v>33.654970960955161</c:v>
                </c:pt>
                <c:pt idx="2">
                  <c:v>35.471807619436326</c:v>
                </c:pt>
              </c:numCache>
            </c:numRef>
          </c:val>
        </c:ser>
        <c:marker val="1"/>
        <c:axId val="69790720"/>
        <c:axId val="69693824"/>
      </c:lineChart>
      <c:catAx>
        <c:axId val="69790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Alloy type</a:t>
                </a:r>
              </a:p>
            </c:rich>
          </c:tx>
        </c:title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69693824"/>
        <c:crosses val="autoZero"/>
        <c:auto val="1"/>
        <c:lblAlgn val="ctr"/>
        <c:lblOffset val="100"/>
      </c:catAx>
      <c:valAx>
        <c:axId val="69693824"/>
        <c:scaling>
          <c:orientation val="minMax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S/</a:t>
                </a:r>
                <a:r>
                  <a:rPr lang="en-US" baseline="0"/>
                  <a:t> N ratio</a:t>
                </a:r>
                <a:endParaRPr lang="en-US"/>
              </a:p>
            </c:rich>
          </c:tx>
        </c:title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69790720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'!$L$22:$N$22</c:f>
              <c:strCache>
                <c:ptCount val="3"/>
                <c:pt idx="0">
                  <c:v>690°C</c:v>
                </c:pt>
                <c:pt idx="1">
                  <c:v>730°C</c:v>
                </c:pt>
                <c:pt idx="2">
                  <c:v>770°C</c:v>
                </c:pt>
              </c:strCache>
            </c:strRef>
          </c:cat>
          <c:val>
            <c:numRef>
              <c:f>'Experimental design '!$H$213:$H$215</c:f>
              <c:numCache>
                <c:formatCode>0.00</c:formatCode>
                <c:ptCount val="3"/>
                <c:pt idx="0">
                  <c:v>34.990131029152856</c:v>
                </c:pt>
                <c:pt idx="1">
                  <c:v>34.573113327738007</c:v>
                </c:pt>
                <c:pt idx="2">
                  <c:v>34.837119190832226</c:v>
                </c:pt>
              </c:numCache>
            </c:numRef>
          </c:val>
        </c:ser>
        <c:marker val="1"/>
        <c:axId val="69709184"/>
        <c:axId val="108267008"/>
      </c:lineChart>
      <c:catAx>
        <c:axId val="697091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Pour temperature</a:t>
                </a:r>
              </a:p>
            </c:rich>
          </c:tx>
        </c:title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267008"/>
        <c:crosses val="autoZero"/>
        <c:auto val="1"/>
        <c:lblAlgn val="ctr"/>
        <c:lblOffset val="100"/>
      </c:catAx>
      <c:valAx>
        <c:axId val="108267008"/>
        <c:scaling>
          <c:orientation val="minMax"/>
          <c:min val="34.4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Sn</a:t>
                </a:r>
                <a:r>
                  <a:rPr lang="en-US" baseline="0"/>
                  <a:t> ratio</a:t>
                </a:r>
              </a:p>
              <a:p>
                <a:pPr>
                  <a:defRPr/>
                </a:pPr>
                <a:endParaRPr lang="en-US"/>
              </a:p>
            </c:rich>
          </c:tx>
        </c:title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6970918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'!$D$24:$F$24</c:f>
              <c:strCache>
                <c:ptCount val="3"/>
                <c:pt idx="0">
                  <c:v>ZP131</c:v>
                </c:pt>
                <c:pt idx="1">
                  <c:v>ZCAST501</c:v>
                </c:pt>
                <c:pt idx="2">
                  <c:v>Silica Sand</c:v>
                </c:pt>
              </c:strCache>
            </c:strRef>
          </c:cat>
          <c:val>
            <c:numRef>
              <c:f>'Experimental design '!$E$213:$E$215</c:f>
              <c:numCache>
                <c:formatCode>0.00</c:formatCode>
                <c:ptCount val="3"/>
                <c:pt idx="0">
                  <c:v>34.795056638081569</c:v>
                </c:pt>
                <c:pt idx="1">
                  <c:v>35.257285153280527</c:v>
                </c:pt>
                <c:pt idx="2">
                  <c:v>34.348021756360993</c:v>
                </c:pt>
              </c:numCache>
            </c:numRef>
          </c:val>
        </c:ser>
        <c:marker val="1"/>
        <c:axId val="108298624"/>
        <c:axId val="108300160"/>
      </c:lineChart>
      <c:catAx>
        <c:axId val="108298624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300160"/>
        <c:crosses val="autoZero"/>
        <c:auto val="1"/>
        <c:lblAlgn val="ctr"/>
        <c:lblOffset val="100"/>
      </c:catAx>
      <c:valAx>
        <c:axId val="108300160"/>
        <c:scaling>
          <c:orientation val="minMax"/>
          <c:min val="34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829862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'!$H$22:$J$22</c:f>
              <c:strCache>
                <c:ptCount val="3"/>
                <c:pt idx="0">
                  <c:v>ISOMOL</c:v>
                </c:pt>
                <c:pt idx="1">
                  <c:v>ZIRCOAT</c:v>
                </c:pt>
                <c:pt idx="2">
                  <c:v>MAGCOAT</c:v>
                </c:pt>
              </c:strCache>
            </c:strRef>
          </c:cat>
          <c:val>
            <c:numRef>
              <c:f>'Experimental design '!$F$213:$F$215</c:f>
              <c:numCache>
                <c:formatCode>0.00</c:formatCode>
                <c:ptCount val="3"/>
                <c:pt idx="0">
                  <c:v>34.431875878812782</c:v>
                </c:pt>
                <c:pt idx="1">
                  <c:v>35.031922598853988</c:v>
                </c:pt>
                <c:pt idx="2">
                  <c:v>34.936565070056311</c:v>
                </c:pt>
              </c:numCache>
            </c:numRef>
          </c:val>
        </c:ser>
        <c:marker val="1"/>
        <c:axId val="108311296"/>
        <c:axId val="108312832"/>
      </c:lineChart>
      <c:catAx>
        <c:axId val="108311296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312832"/>
        <c:crosses val="autoZero"/>
        <c:auto val="1"/>
        <c:lblAlgn val="ctr"/>
        <c:lblOffset val="100"/>
      </c:catAx>
      <c:valAx>
        <c:axId val="108312832"/>
        <c:scaling>
          <c:orientation val="minMax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311296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'!$H$23:$J$23</c:f>
              <c:strCache>
                <c:ptCount val="3"/>
                <c:pt idx="0">
                  <c:v>AZ91HP</c:v>
                </c:pt>
                <c:pt idx="1">
                  <c:v>SM1</c:v>
                </c:pt>
                <c:pt idx="2">
                  <c:v>A356</c:v>
                </c:pt>
              </c:strCache>
            </c:strRef>
          </c:cat>
          <c:val>
            <c:numRef>
              <c:f>'Experimental design '!$G$213:$G$215</c:f>
              <c:numCache>
                <c:formatCode>0.00</c:formatCode>
                <c:ptCount val="3"/>
                <c:pt idx="0">
                  <c:v>35.27358496733158</c:v>
                </c:pt>
                <c:pt idx="1">
                  <c:v>33.654970960955161</c:v>
                </c:pt>
                <c:pt idx="2">
                  <c:v>35.471807619436326</c:v>
                </c:pt>
              </c:numCache>
            </c:numRef>
          </c:val>
        </c:ser>
        <c:marker val="1"/>
        <c:axId val="108332160"/>
        <c:axId val="108333696"/>
      </c:lineChart>
      <c:catAx>
        <c:axId val="108332160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333696"/>
        <c:crosses val="autoZero"/>
        <c:auto val="1"/>
        <c:lblAlgn val="ctr"/>
        <c:lblOffset val="100"/>
      </c:catAx>
      <c:valAx>
        <c:axId val="108333696"/>
        <c:scaling>
          <c:orientation val="minMax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8332160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'!$L$22:$N$22</c:f>
              <c:strCache>
                <c:ptCount val="3"/>
                <c:pt idx="0">
                  <c:v>690°C</c:v>
                </c:pt>
                <c:pt idx="1">
                  <c:v>730°C</c:v>
                </c:pt>
                <c:pt idx="2">
                  <c:v>770°C</c:v>
                </c:pt>
              </c:strCache>
            </c:strRef>
          </c:cat>
          <c:val>
            <c:numRef>
              <c:f>'Experimental design '!$H$213:$H$215</c:f>
              <c:numCache>
                <c:formatCode>0.00</c:formatCode>
                <c:ptCount val="3"/>
                <c:pt idx="0">
                  <c:v>34.990131029152856</c:v>
                </c:pt>
                <c:pt idx="1">
                  <c:v>34.573113327738007</c:v>
                </c:pt>
                <c:pt idx="2">
                  <c:v>34.837119190832226</c:v>
                </c:pt>
              </c:numCache>
            </c:numRef>
          </c:val>
        </c:ser>
        <c:marker val="1"/>
        <c:axId val="108365312"/>
        <c:axId val="108366848"/>
      </c:lineChart>
      <c:catAx>
        <c:axId val="108365312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8366848"/>
        <c:crosses val="autoZero"/>
        <c:auto val="1"/>
        <c:lblAlgn val="ctr"/>
        <c:lblOffset val="100"/>
      </c:catAx>
      <c:valAx>
        <c:axId val="108366848"/>
        <c:scaling>
          <c:orientation val="minMax"/>
          <c:min val="34.4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8365312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'!$H$22:$J$22</c:f>
              <c:strCache>
                <c:ptCount val="3"/>
                <c:pt idx="0">
                  <c:v>ISOMOL</c:v>
                </c:pt>
                <c:pt idx="1">
                  <c:v>ZIRCOAT</c:v>
                </c:pt>
                <c:pt idx="2">
                  <c:v>MAGCOAT</c:v>
                </c:pt>
              </c:strCache>
            </c:strRef>
          </c:cat>
          <c:val>
            <c:numRef>
              <c:f>'Experimental design '!$D$18:$D$20</c:f>
              <c:numCache>
                <c:formatCode>0.00</c:formatCode>
                <c:ptCount val="3"/>
                <c:pt idx="0">
                  <c:v>41.808160229659599</c:v>
                </c:pt>
                <c:pt idx="1">
                  <c:v>42.259328215622418</c:v>
                </c:pt>
                <c:pt idx="2">
                  <c:v>43.190521605104713</c:v>
                </c:pt>
              </c:numCache>
            </c:numRef>
          </c:val>
        </c:ser>
        <c:marker val="1"/>
        <c:axId val="107479040"/>
        <c:axId val="107480576"/>
      </c:lineChart>
      <c:catAx>
        <c:axId val="107479040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480576"/>
        <c:crosses val="autoZero"/>
        <c:auto val="1"/>
        <c:lblAlgn val="ctr"/>
        <c:lblOffset val="100"/>
      </c:catAx>
      <c:valAx>
        <c:axId val="107480576"/>
        <c:scaling>
          <c:orientation val="minMax"/>
          <c:min val="41.6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/>
                  <a:t>S/N ratio</a:t>
                </a:r>
              </a:p>
            </c:rich>
          </c:tx>
        </c:title>
        <c:numFmt formatCode="0.00" sourceLinked="1"/>
        <c:majorTickMark val="none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479040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'!$L$22:$N$22</c:f>
              <c:strCache>
                <c:ptCount val="3"/>
                <c:pt idx="0">
                  <c:v>690°C</c:v>
                </c:pt>
                <c:pt idx="1">
                  <c:v>730°C</c:v>
                </c:pt>
                <c:pt idx="2">
                  <c:v>770°C</c:v>
                </c:pt>
              </c:strCache>
            </c:strRef>
          </c:cat>
          <c:val>
            <c:numRef>
              <c:f>'Experimental design '!$F$18:$F$20</c:f>
              <c:numCache>
                <c:formatCode>0.00</c:formatCode>
                <c:ptCount val="3"/>
                <c:pt idx="0">
                  <c:v>43.413238449062163</c:v>
                </c:pt>
                <c:pt idx="1">
                  <c:v>41.740720135803485</c:v>
                </c:pt>
                <c:pt idx="2">
                  <c:v>42.104051465521074</c:v>
                </c:pt>
              </c:numCache>
            </c:numRef>
          </c:val>
        </c:ser>
        <c:marker val="1"/>
        <c:axId val="107504384"/>
        <c:axId val="107505920"/>
      </c:lineChart>
      <c:catAx>
        <c:axId val="10750438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505920"/>
        <c:crosses val="autoZero"/>
        <c:auto val="1"/>
        <c:lblAlgn val="ctr"/>
        <c:lblOffset val="100"/>
      </c:catAx>
      <c:valAx>
        <c:axId val="107505920"/>
        <c:scaling>
          <c:orientation val="minMax"/>
          <c:min val="41.6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baseline="0"/>
                  <a:t>S/N ratio</a:t>
                </a:r>
                <a:endParaRPr lang="en-US" sz="1000"/>
              </a:p>
            </c:rich>
          </c:tx>
        </c:title>
        <c:numFmt formatCode="0.00" sourceLinked="1"/>
        <c:majorTickMark val="none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50438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'!$D$24:$F$24</c:f>
              <c:strCache>
                <c:ptCount val="3"/>
                <c:pt idx="0">
                  <c:v>ZP131</c:v>
                </c:pt>
                <c:pt idx="1">
                  <c:v>ZCAST501</c:v>
                </c:pt>
                <c:pt idx="2">
                  <c:v>Silica Sand</c:v>
                </c:pt>
              </c:strCache>
            </c:strRef>
          </c:cat>
          <c:val>
            <c:numRef>
              <c:f>'Experimental design '!$D$55:$D$57</c:f>
              <c:numCache>
                <c:formatCode>0.00</c:formatCode>
                <c:ptCount val="3"/>
                <c:pt idx="0">
                  <c:v>39.637032550877699</c:v>
                </c:pt>
                <c:pt idx="1">
                  <c:v>39.819917267244456</c:v>
                </c:pt>
                <c:pt idx="2">
                  <c:v>38.79973420198079</c:v>
                </c:pt>
              </c:numCache>
            </c:numRef>
          </c:val>
        </c:ser>
        <c:marker val="1"/>
        <c:axId val="107668992"/>
        <c:axId val="107670528"/>
      </c:lineChart>
      <c:catAx>
        <c:axId val="107668992"/>
        <c:scaling>
          <c:orientation val="minMax"/>
        </c:scaling>
        <c:axPos val="b"/>
        <c:minorGridlines/>
        <c:numFmt formatCode="General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670528"/>
        <c:crosses val="autoZero"/>
        <c:auto val="1"/>
        <c:lblAlgn val="ctr"/>
        <c:lblOffset val="100"/>
      </c:catAx>
      <c:valAx>
        <c:axId val="107670528"/>
        <c:scaling>
          <c:orientation val="minMax"/>
          <c:min val="38.6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668992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'!$H$22:$J$22</c:f>
              <c:strCache>
                <c:ptCount val="3"/>
                <c:pt idx="0">
                  <c:v>ISOMOL</c:v>
                </c:pt>
                <c:pt idx="1">
                  <c:v>ZIRCOAT</c:v>
                </c:pt>
                <c:pt idx="2">
                  <c:v>MAGCOAT</c:v>
                </c:pt>
              </c:strCache>
            </c:strRef>
          </c:cat>
          <c:val>
            <c:numRef>
              <c:f>'Experimental design '!$E$55:$E$57</c:f>
              <c:numCache>
                <c:formatCode>0.00</c:formatCode>
                <c:ptCount val="3"/>
                <c:pt idx="0">
                  <c:v>38.692892822354771</c:v>
                </c:pt>
                <c:pt idx="1">
                  <c:v>39.733184555020188</c:v>
                </c:pt>
                <c:pt idx="2">
                  <c:v>39.830606642727986</c:v>
                </c:pt>
              </c:numCache>
            </c:numRef>
          </c:val>
        </c:ser>
        <c:marker val="1"/>
        <c:axId val="107689472"/>
        <c:axId val="107691008"/>
      </c:lineChart>
      <c:catAx>
        <c:axId val="107689472"/>
        <c:scaling>
          <c:orientation val="minMax"/>
        </c:scaling>
        <c:axPos val="b"/>
        <c:minorGridlines/>
        <c:numFmt formatCode="General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691008"/>
        <c:crosses val="autoZero"/>
        <c:auto val="1"/>
        <c:lblAlgn val="ctr"/>
        <c:lblOffset val="100"/>
      </c:catAx>
      <c:valAx>
        <c:axId val="107691008"/>
        <c:scaling>
          <c:orientation val="minMax"/>
          <c:min val="38.6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689472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'!$L$22:$N$22</c:f>
              <c:strCache>
                <c:ptCount val="3"/>
                <c:pt idx="0">
                  <c:v>690°C</c:v>
                </c:pt>
                <c:pt idx="1">
                  <c:v>730°C</c:v>
                </c:pt>
                <c:pt idx="2">
                  <c:v>770°C</c:v>
                </c:pt>
              </c:strCache>
            </c:strRef>
          </c:cat>
          <c:val>
            <c:numRef>
              <c:f>'Experimental design '!$G$55:$G$57</c:f>
              <c:numCache>
                <c:formatCode>0.00</c:formatCode>
                <c:ptCount val="3"/>
                <c:pt idx="0">
                  <c:v>40.17721592357578</c:v>
                </c:pt>
                <c:pt idx="1">
                  <c:v>38.627967288335761</c:v>
                </c:pt>
                <c:pt idx="2">
                  <c:v>39.451500808191405</c:v>
                </c:pt>
              </c:numCache>
            </c:numRef>
          </c:val>
        </c:ser>
        <c:marker val="1"/>
        <c:axId val="107718528"/>
        <c:axId val="107720064"/>
      </c:lineChart>
      <c:catAx>
        <c:axId val="107718528"/>
        <c:scaling>
          <c:orientation val="minMax"/>
        </c:scaling>
        <c:axPos val="b"/>
        <c:minorGridlines/>
        <c:numFmt formatCode="General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720064"/>
        <c:crosses val="autoZero"/>
        <c:auto val="1"/>
        <c:lblAlgn val="ctr"/>
        <c:lblOffset val="100"/>
      </c:catAx>
      <c:valAx>
        <c:axId val="107720064"/>
        <c:scaling>
          <c:orientation val="minMax"/>
          <c:min val="38.5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718528"/>
        <c:crosses val="autoZero"/>
        <c:crossBetween val="between"/>
        <c:majorUnit val="0.5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'!$H$23:$J$23</c:f>
              <c:strCache>
                <c:ptCount val="3"/>
                <c:pt idx="0">
                  <c:v>AZ91HP</c:v>
                </c:pt>
                <c:pt idx="1">
                  <c:v>SM1</c:v>
                </c:pt>
                <c:pt idx="2">
                  <c:v>A356</c:v>
                </c:pt>
              </c:strCache>
            </c:strRef>
          </c:cat>
          <c:val>
            <c:numRef>
              <c:f>'Experimental design '!$F$55:$F$57</c:f>
              <c:numCache>
                <c:formatCode>0.00</c:formatCode>
                <c:ptCount val="3"/>
                <c:pt idx="0">
                  <c:v>39.661756059626079</c:v>
                </c:pt>
                <c:pt idx="1">
                  <c:v>38.391558398350639</c:v>
                </c:pt>
                <c:pt idx="2">
                  <c:v>40.203369562126227</c:v>
                </c:pt>
              </c:numCache>
            </c:numRef>
          </c:val>
        </c:ser>
        <c:marker val="1"/>
        <c:axId val="107759872"/>
        <c:axId val="107765760"/>
      </c:lineChart>
      <c:catAx>
        <c:axId val="107759872"/>
        <c:scaling>
          <c:orientation val="minMax"/>
        </c:scaling>
        <c:axPos val="b"/>
        <c:minorGridlines/>
        <c:numFmt formatCode="General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765760"/>
        <c:crosses val="autoZero"/>
        <c:auto val="1"/>
        <c:lblAlgn val="ctr"/>
        <c:lblOffset val="100"/>
      </c:catAx>
      <c:valAx>
        <c:axId val="107765760"/>
        <c:scaling>
          <c:orientation val="minMax"/>
          <c:min val="38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759872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cat>
            <c:strRef>
              <c:f>'Experimental design '!$D$24:$F$24</c:f>
              <c:strCache>
                <c:ptCount val="3"/>
                <c:pt idx="0">
                  <c:v>ZP131</c:v>
                </c:pt>
                <c:pt idx="1">
                  <c:v>ZCAST501</c:v>
                </c:pt>
                <c:pt idx="2">
                  <c:v>Silica Sand</c:v>
                </c:pt>
              </c:strCache>
            </c:strRef>
          </c:cat>
          <c:val>
            <c:numRef>
              <c:f>'Experimental design '!$C$92:$C$94</c:f>
              <c:numCache>
                <c:formatCode>0.00</c:formatCode>
                <c:ptCount val="3"/>
                <c:pt idx="0">
                  <c:v>-2.6529333911469171</c:v>
                </c:pt>
                <c:pt idx="1">
                  <c:v>-9.3196000578135845</c:v>
                </c:pt>
                <c:pt idx="2">
                  <c:v>-0.64606675338704245</c:v>
                </c:pt>
              </c:numCache>
            </c:numRef>
          </c:val>
        </c:ser>
        <c:marker val="1"/>
        <c:axId val="107788928"/>
        <c:axId val="107794816"/>
      </c:lineChart>
      <c:catAx>
        <c:axId val="107788928"/>
        <c:scaling>
          <c:orientation val="minMax"/>
        </c:scaling>
        <c:axPos val="b"/>
        <c:minorGridlines/>
        <c:numFmt formatCode="General" sourceLinked="1"/>
        <c:tickLblPos val="low"/>
        <c:txPr>
          <a:bodyPr/>
          <a:lstStyle/>
          <a:p>
            <a:pPr>
              <a:defRPr lang="en-NZ"/>
            </a:pPr>
            <a:endParaRPr lang="en-US"/>
          </a:p>
        </c:txPr>
        <c:crossAx val="107794816"/>
        <c:crosses val="autoZero"/>
        <c:auto val="1"/>
        <c:lblAlgn val="ctr"/>
        <c:lblOffset val="100"/>
      </c:catAx>
      <c:valAx>
        <c:axId val="107794816"/>
        <c:scaling>
          <c:orientation val="minMax"/>
        </c:scaling>
        <c:axPos val="l"/>
        <c:majorGridlines>
          <c:spPr>
            <a:ln>
              <a:solidFill>
                <a:srgbClr val="4F81BD"/>
              </a:solidFill>
            </a:ln>
          </c:spPr>
        </c:majorGridlines>
        <c:numFmt formatCode="0.00" sourceLinked="1"/>
        <c:tickLblPos val="nextTo"/>
        <c:txPr>
          <a:bodyPr/>
          <a:lstStyle/>
          <a:p>
            <a:pPr>
              <a:defRPr lang="en-NZ"/>
            </a:pPr>
            <a:endParaRPr lang="en-US"/>
          </a:p>
        </c:txPr>
        <c:crossAx val="107788928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24</xdr:row>
      <xdr:rowOff>9525</xdr:rowOff>
    </xdr:from>
    <xdr:to>
      <xdr:col>5</xdr:col>
      <xdr:colOff>66675</xdr:colOff>
      <xdr:row>37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38660</xdr:colOff>
      <xdr:row>1</xdr:row>
      <xdr:rowOff>54348</xdr:rowOff>
    </xdr:from>
    <xdr:to>
      <xdr:col>18</xdr:col>
      <xdr:colOff>238684</xdr:colOff>
      <xdr:row>14</xdr:row>
      <xdr:rowOff>121023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123825</xdr:colOff>
      <xdr:row>24</xdr:row>
      <xdr:rowOff>9525</xdr:rowOff>
    </xdr:from>
    <xdr:to>
      <xdr:col>10</xdr:col>
      <xdr:colOff>95249</xdr:colOff>
      <xdr:row>37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302559</xdr:colOff>
      <xdr:row>24</xdr:row>
      <xdr:rowOff>22412</xdr:rowOff>
    </xdr:from>
    <xdr:to>
      <xdr:col>15</xdr:col>
      <xdr:colOff>502581</xdr:colOff>
      <xdr:row>37</xdr:row>
      <xdr:rowOff>143435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61</xdr:row>
      <xdr:rowOff>0</xdr:rowOff>
    </xdr:from>
    <xdr:to>
      <xdr:col>5</xdr:col>
      <xdr:colOff>19049</xdr:colOff>
      <xdr:row>74</xdr:row>
      <xdr:rowOff>76200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61</xdr:row>
      <xdr:rowOff>0</xdr:rowOff>
    </xdr:from>
    <xdr:to>
      <xdr:col>9</xdr:col>
      <xdr:colOff>388843</xdr:colOff>
      <xdr:row>74</xdr:row>
      <xdr:rowOff>76200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41</xdr:row>
      <xdr:rowOff>0</xdr:rowOff>
    </xdr:from>
    <xdr:to>
      <xdr:col>16</xdr:col>
      <xdr:colOff>220754</xdr:colOff>
      <xdr:row>54</xdr:row>
      <xdr:rowOff>76200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57</xdr:row>
      <xdr:rowOff>0</xdr:rowOff>
    </xdr:from>
    <xdr:to>
      <xdr:col>15</xdr:col>
      <xdr:colOff>220755</xdr:colOff>
      <xdr:row>70</xdr:row>
      <xdr:rowOff>76200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56030</xdr:colOff>
      <xdr:row>97</xdr:row>
      <xdr:rowOff>145676</xdr:rowOff>
    </xdr:from>
    <xdr:to>
      <xdr:col>5</xdr:col>
      <xdr:colOff>75079</xdr:colOff>
      <xdr:row>111</xdr:row>
      <xdr:rowOff>31376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190501</xdr:colOff>
      <xdr:row>98</xdr:row>
      <xdr:rowOff>56029</xdr:rowOff>
    </xdr:from>
    <xdr:to>
      <xdr:col>9</xdr:col>
      <xdr:colOff>489697</xdr:colOff>
      <xdr:row>111</xdr:row>
      <xdr:rowOff>132229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77</xdr:row>
      <xdr:rowOff>0</xdr:rowOff>
    </xdr:from>
    <xdr:to>
      <xdr:col>14</xdr:col>
      <xdr:colOff>534520</xdr:colOff>
      <xdr:row>90</xdr:row>
      <xdr:rowOff>20171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0</xdr:colOff>
      <xdr:row>91</xdr:row>
      <xdr:rowOff>0</xdr:rowOff>
    </xdr:from>
    <xdr:to>
      <xdr:col>15</xdr:col>
      <xdr:colOff>534520</xdr:colOff>
      <xdr:row>104</xdr:row>
      <xdr:rowOff>53788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135</xdr:row>
      <xdr:rowOff>179294</xdr:rowOff>
    </xdr:from>
    <xdr:to>
      <xdr:col>5</xdr:col>
      <xdr:colOff>19049</xdr:colOff>
      <xdr:row>149</xdr:row>
      <xdr:rowOff>64994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89647</xdr:colOff>
      <xdr:row>136</xdr:row>
      <xdr:rowOff>0</xdr:rowOff>
    </xdr:from>
    <xdr:to>
      <xdr:col>9</xdr:col>
      <xdr:colOff>388843</xdr:colOff>
      <xdr:row>149</xdr:row>
      <xdr:rowOff>76200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425822</xdr:colOff>
      <xdr:row>138</xdr:row>
      <xdr:rowOff>11206</xdr:rowOff>
    </xdr:from>
    <xdr:to>
      <xdr:col>15</xdr:col>
      <xdr:colOff>355225</xdr:colOff>
      <xdr:row>151</xdr:row>
      <xdr:rowOff>87406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417017</xdr:colOff>
      <xdr:row>125</xdr:row>
      <xdr:rowOff>99251</xdr:rowOff>
    </xdr:from>
    <xdr:to>
      <xdr:col>15</xdr:col>
      <xdr:colOff>346420</xdr:colOff>
      <xdr:row>138</xdr:row>
      <xdr:rowOff>133028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22411</xdr:colOff>
      <xdr:row>177</xdr:row>
      <xdr:rowOff>156884</xdr:rowOff>
    </xdr:from>
    <xdr:to>
      <xdr:col>5</xdr:col>
      <xdr:colOff>41460</xdr:colOff>
      <xdr:row>191</xdr:row>
      <xdr:rowOff>42584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123263</xdr:colOff>
      <xdr:row>179</xdr:row>
      <xdr:rowOff>156883</xdr:rowOff>
    </xdr:from>
    <xdr:to>
      <xdr:col>9</xdr:col>
      <xdr:colOff>422459</xdr:colOff>
      <xdr:row>193</xdr:row>
      <xdr:rowOff>42583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</xdr:col>
      <xdr:colOff>560292</xdr:colOff>
      <xdr:row>180</xdr:row>
      <xdr:rowOff>168089</xdr:rowOff>
    </xdr:from>
    <xdr:to>
      <xdr:col>15</xdr:col>
      <xdr:colOff>489695</xdr:colOff>
      <xdr:row>194</xdr:row>
      <xdr:rowOff>53789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661946</xdr:colOff>
      <xdr:row>167</xdr:row>
      <xdr:rowOff>169690</xdr:rowOff>
    </xdr:from>
    <xdr:to>
      <xdr:col>13</xdr:col>
      <xdr:colOff>584143</xdr:colOff>
      <xdr:row>181</xdr:row>
      <xdr:rowOff>12967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112059</xdr:colOff>
      <xdr:row>219</xdr:row>
      <xdr:rowOff>11208</xdr:rowOff>
    </xdr:from>
    <xdr:to>
      <xdr:col>5</xdr:col>
      <xdr:colOff>131108</xdr:colOff>
      <xdr:row>232</xdr:row>
      <xdr:rowOff>87408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280147</xdr:colOff>
      <xdr:row>219</xdr:row>
      <xdr:rowOff>11207</xdr:rowOff>
    </xdr:from>
    <xdr:to>
      <xdr:col>9</xdr:col>
      <xdr:colOff>579343</xdr:colOff>
      <xdr:row>232</xdr:row>
      <xdr:rowOff>87407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</xdr:col>
      <xdr:colOff>42722</xdr:colOff>
      <xdr:row>222</xdr:row>
      <xdr:rowOff>78442</xdr:rowOff>
    </xdr:from>
    <xdr:to>
      <xdr:col>15</xdr:col>
      <xdr:colOff>579343</xdr:colOff>
      <xdr:row>235</xdr:row>
      <xdr:rowOff>154642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10</xdr:col>
      <xdr:colOff>24013</xdr:colOff>
      <xdr:row>210</xdr:row>
      <xdr:rowOff>117663</xdr:rowOff>
    </xdr:from>
    <xdr:to>
      <xdr:col>15</xdr:col>
      <xdr:colOff>565736</xdr:colOff>
      <xdr:row>223</xdr:row>
      <xdr:rowOff>151440</xdr:rowOff>
    </xdr:to>
    <xdr:graphicFrame macro="">
      <xdr:nvGraphicFramePr>
        <xdr:cNvPr id="25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112059</xdr:colOff>
      <xdr:row>260</xdr:row>
      <xdr:rowOff>11208</xdr:rowOff>
    </xdr:from>
    <xdr:to>
      <xdr:col>5</xdr:col>
      <xdr:colOff>131108</xdr:colOff>
      <xdr:row>273</xdr:row>
      <xdr:rowOff>87408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280147</xdr:colOff>
      <xdr:row>260</xdr:row>
      <xdr:rowOff>11207</xdr:rowOff>
    </xdr:from>
    <xdr:to>
      <xdr:col>9</xdr:col>
      <xdr:colOff>579343</xdr:colOff>
      <xdr:row>273</xdr:row>
      <xdr:rowOff>87407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10</xdr:col>
      <xdr:colOff>78441</xdr:colOff>
      <xdr:row>263</xdr:row>
      <xdr:rowOff>78442</xdr:rowOff>
    </xdr:from>
    <xdr:to>
      <xdr:col>16</xdr:col>
      <xdr:colOff>7843</xdr:colOff>
      <xdr:row>276</xdr:row>
      <xdr:rowOff>154642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</xdr:col>
      <xdr:colOff>24013</xdr:colOff>
      <xdr:row>251</xdr:row>
      <xdr:rowOff>117663</xdr:rowOff>
    </xdr:from>
    <xdr:to>
      <xdr:col>15</xdr:col>
      <xdr:colOff>565736</xdr:colOff>
      <xdr:row>264</xdr:row>
      <xdr:rowOff>151440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pane xSplit="1" topLeftCell="B1" activePane="topRight" state="frozen"/>
      <selection pane="topRight" activeCell="A7" sqref="A7:M7"/>
    </sheetView>
  </sheetViews>
  <sheetFormatPr defaultRowHeight="15"/>
  <cols>
    <col min="1" max="1" width="32.42578125" customWidth="1"/>
    <col min="3" max="3" width="6.28515625" customWidth="1"/>
    <col min="4" max="4" width="15.28515625" customWidth="1"/>
    <col min="5" max="5" width="18.140625" bestFit="1" customWidth="1"/>
    <col min="6" max="6" width="15.7109375" customWidth="1"/>
    <col min="7" max="7" width="2.28515625" customWidth="1"/>
    <col min="8" max="8" width="18.140625" hidden="1" customWidth="1"/>
    <col min="9" max="9" width="13.85546875" hidden="1" customWidth="1"/>
    <col min="10" max="10" width="10.140625" customWidth="1"/>
    <col min="11" max="11" width="12.5703125" customWidth="1"/>
    <col min="12" max="12" width="21.85546875" customWidth="1"/>
    <col min="13" max="13" width="22.5703125" customWidth="1"/>
    <col min="14" max="14" width="15.140625" bestFit="1" customWidth="1"/>
    <col min="15" max="15" width="18.140625" bestFit="1" customWidth="1"/>
    <col min="16" max="16" width="14.5703125" bestFit="1" customWidth="1"/>
    <col min="17" max="17" width="14.7109375" bestFit="1" customWidth="1"/>
    <col min="18" max="18" width="13.7109375" bestFit="1" customWidth="1"/>
  </cols>
  <sheetData>
    <row r="1" spans="1:20" ht="15.75" thickBot="1">
      <c r="P1" t="s">
        <v>111</v>
      </c>
    </row>
    <row r="2" spans="1:20" ht="15.75" thickBot="1">
      <c r="B2" t="s">
        <v>0</v>
      </c>
      <c r="D2" s="194" t="s">
        <v>48</v>
      </c>
      <c r="E2" s="196"/>
      <c r="F2" s="195"/>
      <c r="G2" s="196" t="s">
        <v>47</v>
      </c>
      <c r="H2" s="196"/>
      <c r="I2" s="195"/>
      <c r="J2" s="194" t="s">
        <v>107</v>
      </c>
      <c r="K2" s="195"/>
      <c r="L2" s="17" t="s">
        <v>29</v>
      </c>
      <c r="M2" s="17" t="s">
        <v>108</v>
      </c>
      <c r="N2" s="194" t="s">
        <v>112</v>
      </c>
      <c r="O2" s="196"/>
      <c r="P2" s="196"/>
      <c r="Q2" s="196"/>
      <c r="R2" s="196"/>
      <c r="S2" s="196"/>
      <c r="T2" s="195"/>
    </row>
    <row r="3" spans="1:20" ht="15.75" thickBot="1">
      <c r="A3" t="s">
        <v>2</v>
      </c>
      <c r="B3" t="s">
        <v>1</v>
      </c>
      <c r="C3" s="1" t="s">
        <v>3</v>
      </c>
      <c r="D3" s="19" t="s">
        <v>46</v>
      </c>
      <c r="E3" s="7" t="s">
        <v>4</v>
      </c>
      <c r="F3" s="8" t="s">
        <v>5</v>
      </c>
      <c r="G3" s="19" t="s">
        <v>46</v>
      </c>
      <c r="H3" s="7" t="s">
        <v>4</v>
      </c>
      <c r="I3" s="20" t="s">
        <v>5</v>
      </c>
      <c r="J3" s="194" t="s">
        <v>6</v>
      </c>
      <c r="K3" s="195"/>
      <c r="L3" s="17" t="s">
        <v>44</v>
      </c>
      <c r="M3" s="17" t="s">
        <v>27</v>
      </c>
      <c r="N3" s="46" t="s">
        <v>46</v>
      </c>
      <c r="O3" s="3" t="s">
        <v>4</v>
      </c>
      <c r="P3" s="47" t="s">
        <v>5</v>
      </c>
      <c r="Q3" s="5" t="s">
        <v>29</v>
      </c>
      <c r="R3" s="5" t="s">
        <v>108</v>
      </c>
    </row>
    <row r="4" spans="1:20" ht="15.75" thickBot="1">
      <c r="D4" s="30"/>
      <c r="E4" s="31"/>
      <c r="F4" s="32"/>
      <c r="G4" s="2"/>
      <c r="H4" s="2"/>
      <c r="I4" s="2"/>
      <c r="J4" s="6" t="s">
        <v>25</v>
      </c>
      <c r="K4" s="9" t="s">
        <v>26</v>
      </c>
      <c r="L4" s="1" t="s">
        <v>45</v>
      </c>
      <c r="M4" s="18" t="s">
        <v>28</v>
      </c>
      <c r="N4" s="11" t="s">
        <v>113</v>
      </c>
      <c r="O4" s="11" t="s">
        <v>113</v>
      </c>
      <c r="P4" s="11" t="s">
        <v>113</v>
      </c>
      <c r="Q4" s="11" t="s">
        <v>113</v>
      </c>
      <c r="R4" s="11" t="s">
        <v>113</v>
      </c>
    </row>
    <row r="5" spans="1:20" ht="12.75" customHeight="1">
      <c r="A5" s="14" t="s">
        <v>7</v>
      </c>
      <c r="B5" s="10">
        <v>1</v>
      </c>
      <c r="C5" s="10" t="s">
        <v>16</v>
      </c>
      <c r="D5" s="33">
        <v>156.4165321486559</v>
      </c>
      <c r="E5" s="43">
        <v>98.994408904904375</v>
      </c>
      <c r="F5" s="41">
        <v>2.1704255319148937</v>
      </c>
      <c r="G5" s="2"/>
      <c r="H5" s="2"/>
      <c r="I5" s="2"/>
      <c r="J5" s="38">
        <v>9.4930000000000003</v>
      </c>
      <c r="K5" s="4">
        <v>15.8101</v>
      </c>
      <c r="L5" s="35">
        <v>56.821703325236015</v>
      </c>
      <c r="M5" s="38">
        <v>1</v>
      </c>
      <c r="N5" s="48">
        <f>-10*LOG10((1/D5)^2)</f>
        <v>43.885653061624041</v>
      </c>
      <c r="O5" s="48">
        <f t="shared" ref="O5:O13" si="0">-10*LOG10((1/E5)^2)</f>
        <v>39.912213336331391</v>
      </c>
      <c r="P5" s="48">
        <f>-10*LOG10((1/F5)^2)</f>
        <v>6.730897792591354</v>
      </c>
      <c r="Q5" s="48">
        <f>-10*LOG10((1/L5)^2)</f>
        <v>35.090284965655705</v>
      </c>
      <c r="R5" s="48">
        <f>-10*LOG10((1/M5)^2)</f>
        <v>0</v>
      </c>
      <c r="S5" s="1"/>
    </row>
    <row r="6" spans="1:20" ht="13.5" customHeight="1">
      <c r="A6" s="14" t="s">
        <v>8</v>
      </c>
      <c r="B6" s="10">
        <v>2</v>
      </c>
      <c r="C6" s="10" t="s">
        <v>16</v>
      </c>
      <c r="D6" s="33">
        <v>130.01704398623724</v>
      </c>
      <c r="E6" s="43">
        <v>80.659019546865579</v>
      </c>
      <c r="F6" s="41">
        <v>2.5604113561669322</v>
      </c>
      <c r="G6" s="2"/>
      <c r="H6" s="2"/>
      <c r="I6" s="2"/>
      <c r="J6" s="4">
        <v>7.3272000000000004</v>
      </c>
      <c r="K6" s="4">
        <v>11.0243</v>
      </c>
      <c r="L6" s="36">
        <v>48.165380876167376</v>
      </c>
      <c r="M6" s="4">
        <v>0.8</v>
      </c>
      <c r="N6" s="48">
        <f t="shared" ref="N6:N13" si="1">-10*LOG10((1/D6)^2)</f>
        <v>42.280005757518055</v>
      </c>
      <c r="O6" s="48">
        <f t="shared" si="0"/>
        <v>38.133058772481341</v>
      </c>
      <c r="P6" s="48">
        <f t="shared" ref="P6:P13" si="2">-10*LOG10((1/F6)^2)</f>
        <v>8.1661948950001051</v>
      </c>
      <c r="Q6" s="48">
        <f t="shared" ref="Q6:Q13" si="3">-10*LOG10((1/L6)^2)</f>
        <v>33.654699977905636</v>
      </c>
      <c r="R6" s="48">
        <f t="shared" ref="R6:R13" si="4">-10*LOG10((1/M6)^2)</f>
        <v>-1.9382002601611283</v>
      </c>
      <c r="S6" s="1"/>
    </row>
    <row r="7" spans="1:20" ht="14.25" customHeight="1">
      <c r="A7" s="14" t="s">
        <v>9</v>
      </c>
      <c r="B7" s="10">
        <v>3</v>
      </c>
      <c r="C7" s="10" t="s">
        <v>16</v>
      </c>
      <c r="D7" s="33">
        <v>127.13102249601593</v>
      </c>
      <c r="E7" s="43">
        <v>110.48193633405656</v>
      </c>
      <c r="F7" s="41">
        <v>0.74882625181220019</v>
      </c>
      <c r="G7" s="2"/>
      <c r="H7" s="2"/>
      <c r="I7" s="2"/>
      <c r="J7" s="4">
        <v>5.8409000000000004</v>
      </c>
      <c r="K7" s="4">
        <v>9.0349000000000004</v>
      </c>
      <c r="L7" s="36">
        <v>60.535376595011428</v>
      </c>
      <c r="M7" s="4">
        <v>0.5</v>
      </c>
      <c r="N7" s="48">
        <f t="shared" si="1"/>
        <v>42.085030799415854</v>
      </c>
      <c r="O7" s="48">
        <f t="shared" si="0"/>
        <v>40.865825543820364</v>
      </c>
      <c r="P7" s="48">
        <f t="shared" si="2"/>
        <v>-2.5123787763890926</v>
      </c>
      <c r="Q7" s="48">
        <f t="shared" si="3"/>
        <v>35.640184970683343</v>
      </c>
      <c r="R7" s="48">
        <f t="shared" si="4"/>
        <v>-6.0205999132796242</v>
      </c>
      <c r="S7" s="1"/>
    </row>
    <row r="8" spans="1:20" ht="13.5" customHeight="1">
      <c r="A8" s="14" t="s">
        <v>10</v>
      </c>
      <c r="B8" s="10">
        <v>4</v>
      </c>
      <c r="C8" s="10" t="s">
        <v>16</v>
      </c>
      <c r="D8" s="33">
        <v>127.9930959856062</v>
      </c>
      <c r="E8" s="43">
        <v>80.345075612513256</v>
      </c>
      <c r="F8" s="41">
        <v>2.2832098367697595</v>
      </c>
      <c r="G8" s="2"/>
      <c r="H8" s="2"/>
      <c r="I8" s="2"/>
      <c r="J8" s="4">
        <v>23.662400000000002</v>
      </c>
      <c r="K8" s="4">
        <v>30.256799999999998</v>
      </c>
      <c r="L8" s="36">
        <v>48.87022986909416</v>
      </c>
      <c r="M8" s="4">
        <v>0.1</v>
      </c>
      <c r="N8" s="48">
        <f t="shared" si="1"/>
        <v>42.143730884173038</v>
      </c>
      <c r="O8" s="48">
        <f t="shared" si="0"/>
        <v>38.099185276038327</v>
      </c>
      <c r="P8" s="48">
        <f t="shared" si="2"/>
        <v>7.1709165369743602</v>
      </c>
      <c r="Q8" s="48">
        <f t="shared" si="3"/>
        <v>33.780887636157615</v>
      </c>
      <c r="R8" s="48">
        <f t="shared" si="4"/>
        <v>-20</v>
      </c>
      <c r="S8" s="1"/>
    </row>
    <row r="9" spans="1:20" ht="15.75" customHeight="1">
      <c r="A9" s="14" t="s">
        <v>11</v>
      </c>
      <c r="B9" s="10">
        <v>5</v>
      </c>
      <c r="C9" s="10" t="s">
        <v>16</v>
      </c>
      <c r="D9" s="33">
        <v>132.04723411210514</v>
      </c>
      <c r="E9" s="43">
        <v>121.2970292313708</v>
      </c>
      <c r="F9" s="41">
        <v>0.85047484340270751</v>
      </c>
      <c r="G9" s="2"/>
      <c r="H9" s="2"/>
      <c r="I9" s="2"/>
      <c r="J9" s="4">
        <v>11.467499999999999</v>
      </c>
      <c r="K9" s="4">
        <v>11.290800000000001</v>
      </c>
      <c r="L9" s="36">
        <v>65.696032517072055</v>
      </c>
      <c r="M9" s="4">
        <v>0.5</v>
      </c>
      <c r="N9" s="48">
        <f t="shared" si="1"/>
        <v>42.414586176374854</v>
      </c>
      <c r="O9" s="48">
        <f t="shared" si="0"/>
        <v>41.677003287863698</v>
      </c>
      <c r="P9" s="48">
        <f t="shared" si="2"/>
        <v>-1.4067705612626784</v>
      </c>
      <c r="Q9" s="48">
        <f t="shared" si="3"/>
        <v>36.350782853000617</v>
      </c>
      <c r="R9" s="48">
        <f t="shared" si="4"/>
        <v>-6.0205999132796242</v>
      </c>
      <c r="S9" s="1"/>
    </row>
    <row r="10" spans="1:20" ht="12.75" customHeight="1">
      <c r="A10" s="14" t="s">
        <v>12</v>
      </c>
      <c r="B10" s="10">
        <v>6</v>
      </c>
      <c r="C10" s="10" t="s">
        <v>16</v>
      </c>
      <c r="D10" s="33">
        <v>150.87277456936494</v>
      </c>
      <c r="E10" s="43">
        <v>96.422449912752015</v>
      </c>
      <c r="F10" s="41">
        <v>1.5197568389057752</v>
      </c>
      <c r="G10" s="2"/>
      <c r="H10" s="2"/>
      <c r="I10" s="2"/>
      <c r="J10" s="4">
        <v>14.333500000000001</v>
      </c>
      <c r="K10" s="16"/>
      <c r="L10" s="36">
        <v>60.535376595011428</v>
      </c>
      <c r="M10" s="4">
        <v>0.8</v>
      </c>
      <c r="N10" s="48">
        <f t="shared" si="1"/>
        <v>43.572217542887216</v>
      </c>
      <c r="O10" s="48">
        <f t="shared" si="0"/>
        <v>39.683563237831343</v>
      </c>
      <c r="P10" s="48">
        <f t="shared" si="2"/>
        <v>3.6354821277208909</v>
      </c>
      <c r="Q10" s="48">
        <f t="shared" si="3"/>
        <v>35.640184970683343</v>
      </c>
      <c r="R10" s="48">
        <f t="shared" si="4"/>
        <v>-1.9382002601611283</v>
      </c>
      <c r="S10" s="1"/>
    </row>
    <row r="11" spans="1:20" ht="15" customHeight="1">
      <c r="A11" s="14" t="s">
        <v>13</v>
      </c>
      <c r="B11" s="10">
        <v>7</v>
      </c>
      <c r="C11" s="10" t="s">
        <v>16</v>
      </c>
      <c r="D11" s="33">
        <v>93.272761966744554</v>
      </c>
      <c r="E11" s="43">
        <v>80.050489648927552</v>
      </c>
      <c r="F11" s="41">
        <v>0.72871205508680037</v>
      </c>
      <c r="G11" s="2"/>
      <c r="H11" s="2"/>
      <c r="I11" s="2"/>
      <c r="J11" s="4">
        <v>12.6312</v>
      </c>
      <c r="K11" s="4">
        <v>6.6344000000000003</v>
      </c>
      <c r="L11" s="36">
        <v>52.628713238170867</v>
      </c>
      <c r="M11" s="4">
        <v>1</v>
      </c>
      <c r="N11" s="48">
        <f t="shared" si="1"/>
        <v>39.395096743181703</v>
      </c>
      <c r="O11" s="48">
        <f t="shared" si="0"/>
        <v>38.067279854694611</v>
      </c>
      <c r="P11" s="48">
        <f t="shared" si="2"/>
        <v>-2.7488809176042932</v>
      </c>
      <c r="Q11" s="48">
        <f t="shared" si="3"/>
        <v>34.424455034625026</v>
      </c>
      <c r="R11" s="48">
        <f t="shared" si="4"/>
        <v>0</v>
      </c>
      <c r="S11" s="1"/>
    </row>
    <row r="12" spans="1:20" ht="14.25" customHeight="1">
      <c r="A12" s="14" t="s">
        <v>14</v>
      </c>
      <c r="B12" s="10">
        <v>8</v>
      </c>
      <c r="C12" s="10" t="s">
        <v>16</v>
      </c>
      <c r="D12" s="33">
        <v>127.10704890472027</v>
      </c>
      <c r="E12" s="43">
        <v>93.21259103246166</v>
      </c>
      <c r="F12" s="41">
        <v>1.5427920886141908</v>
      </c>
      <c r="G12" s="2"/>
      <c r="H12" s="2"/>
      <c r="I12" s="2"/>
      <c r="J12" s="4">
        <v>10.4848</v>
      </c>
      <c r="K12" s="4">
        <v>56.4953</v>
      </c>
      <c r="L12" s="36">
        <v>56.821703325236015</v>
      </c>
      <c r="M12" s="4">
        <v>1</v>
      </c>
      <c r="N12" s="48">
        <f t="shared" si="1"/>
        <v>42.083392712974337</v>
      </c>
      <c r="O12" s="48">
        <f t="shared" si="0"/>
        <v>39.389491604715523</v>
      </c>
      <c r="P12" s="48">
        <f t="shared" si="2"/>
        <v>3.7661480630451019</v>
      </c>
      <c r="Q12" s="48">
        <f t="shared" si="3"/>
        <v>35.090284965655705</v>
      </c>
      <c r="R12" s="48">
        <f t="shared" si="4"/>
        <v>0</v>
      </c>
      <c r="S12" s="1"/>
    </row>
    <row r="13" spans="1:20" ht="16.5" customHeight="1" thickBot="1">
      <c r="A13" s="14" t="s">
        <v>15</v>
      </c>
      <c r="B13" s="10">
        <v>9</v>
      </c>
      <c r="C13" s="10" t="s">
        <v>16</v>
      </c>
      <c r="D13" s="34">
        <v>157.388793230283</v>
      </c>
      <c r="E13" s="44">
        <v>88.536338490165193</v>
      </c>
      <c r="F13" s="42">
        <v>3.3554517789441278</v>
      </c>
      <c r="G13" s="3"/>
      <c r="H13" s="3"/>
      <c r="I13" s="3"/>
      <c r="J13" s="5">
        <v>11.2849</v>
      </c>
      <c r="K13" s="15"/>
      <c r="L13" s="37">
        <v>47.475141020247555</v>
      </c>
      <c r="M13" s="5">
        <v>0.8</v>
      </c>
      <c r="N13" s="48">
        <f t="shared" si="1"/>
        <v>43.939476109187581</v>
      </c>
      <c r="O13" s="48">
        <f t="shared" si="0"/>
        <v>38.942431146532243</v>
      </c>
      <c r="P13" s="48">
        <f t="shared" si="2"/>
        <v>10.515020039389801</v>
      </c>
      <c r="Q13" s="48">
        <f t="shared" si="3"/>
        <v>33.529325268802225</v>
      </c>
      <c r="R13" s="48">
        <f t="shared" si="4"/>
        <v>-1.9382002601611283</v>
      </c>
      <c r="S13" s="1"/>
    </row>
    <row r="14" spans="1:20">
      <c r="N14" s="1"/>
      <c r="O14" s="1"/>
      <c r="P14" s="1"/>
      <c r="Q14" s="1"/>
      <c r="R14" s="1"/>
      <c r="S14" s="1"/>
    </row>
    <row r="15" spans="1:20">
      <c r="A15" s="12"/>
      <c r="C15" s="11" t="s">
        <v>18</v>
      </c>
      <c r="D15" s="40"/>
    </row>
    <row r="16" spans="1:20">
      <c r="C16" s="11" t="s">
        <v>19</v>
      </c>
      <c r="D16" s="40"/>
    </row>
    <row r="17" spans="3:5">
      <c r="C17" s="13" t="s">
        <v>20</v>
      </c>
      <c r="D17" s="40"/>
    </row>
    <row r="18" spans="3:5">
      <c r="C18" s="11" t="s">
        <v>21</v>
      </c>
      <c r="D18" s="40"/>
    </row>
    <row r="19" spans="3:5">
      <c r="C19" s="12"/>
      <c r="D19" s="40"/>
    </row>
    <row r="20" spans="3:5">
      <c r="D20" s="40"/>
      <c r="E20" t="s">
        <v>114</v>
      </c>
    </row>
    <row r="21" spans="3:5">
      <c r="D21" s="40"/>
    </row>
    <row r="22" spans="3:5">
      <c r="D22" s="40"/>
      <c r="E22" t="s">
        <v>115</v>
      </c>
    </row>
    <row r="23" spans="3:5">
      <c r="D23" s="40"/>
      <c r="E23">
        <v>1</v>
      </c>
    </row>
    <row r="24" spans="3:5">
      <c r="E24">
        <v>2</v>
      </c>
    </row>
    <row r="25" spans="3:5">
      <c r="E25">
        <v>3</v>
      </c>
    </row>
    <row r="26" spans="3:5">
      <c r="E26">
        <v>4</v>
      </c>
    </row>
    <row r="27" spans="3:5">
      <c r="E27">
        <v>5</v>
      </c>
    </row>
    <row r="28" spans="3:5">
      <c r="E28">
        <v>6</v>
      </c>
    </row>
    <row r="29" spans="3:5">
      <c r="E29">
        <v>7</v>
      </c>
    </row>
    <row r="30" spans="3:5">
      <c r="E30">
        <v>8</v>
      </c>
    </row>
    <row r="31" spans="3:5">
      <c r="E31">
        <v>9</v>
      </c>
    </row>
  </sheetData>
  <mergeCells count="5">
    <mergeCell ref="J3:K3"/>
    <mergeCell ref="D2:F2"/>
    <mergeCell ref="G2:I2"/>
    <mergeCell ref="J2:K2"/>
    <mergeCell ref="N2:T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37"/>
  <sheetViews>
    <sheetView topLeftCell="A49" workbookViewId="0">
      <selection activeCell="I71" sqref="I71"/>
    </sheetView>
  </sheetViews>
  <sheetFormatPr defaultRowHeight="15"/>
  <cols>
    <col min="3" max="3" width="26.140625" customWidth="1"/>
    <col min="4" max="4" width="21.42578125" bestFit="1" customWidth="1"/>
    <col min="9" max="9" width="16.42578125" customWidth="1"/>
    <col min="10" max="10" width="14.140625" bestFit="1" customWidth="1"/>
  </cols>
  <sheetData>
    <row r="1" spans="1:10">
      <c r="A1" s="45"/>
      <c r="B1" s="45"/>
      <c r="C1" s="45"/>
      <c r="D1" s="45"/>
      <c r="E1" s="45"/>
      <c r="F1" s="45"/>
      <c r="G1" s="45"/>
      <c r="H1" s="45"/>
      <c r="I1" s="45"/>
      <c r="J1" s="45"/>
    </row>
    <row r="2" spans="1:10">
      <c r="A2" s="45"/>
      <c r="B2" s="45"/>
      <c r="C2" s="45" t="s">
        <v>154</v>
      </c>
      <c r="D2" s="45"/>
      <c r="E2" s="45"/>
      <c r="F2" s="45"/>
      <c r="G2" s="45"/>
      <c r="H2" s="45"/>
      <c r="I2" s="45"/>
      <c r="J2" s="45"/>
    </row>
    <row r="3" spans="1:10">
      <c r="A3" s="45"/>
      <c r="B3" s="45"/>
      <c r="C3" s="213" t="s">
        <v>165</v>
      </c>
      <c r="D3" s="213"/>
      <c r="E3" s="213"/>
      <c r="F3" s="213"/>
      <c r="G3" s="213"/>
      <c r="H3" s="213"/>
      <c r="I3" s="213"/>
      <c r="J3" s="213"/>
    </row>
    <row r="4" spans="1:10">
      <c r="A4" s="45"/>
      <c r="B4" s="45"/>
      <c r="C4" s="60" t="s">
        <v>155</v>
      </c>
      <c r="D4" s="60" t="s">
        <v>160</v>
      </c>
      <c r="E4" s="60" t="s">
        <v>161</v>
      </c>
      <c r="F4" s="60" t="s">
        <v>168</v>
      </c>
      <c r="G4" s="60" t="s">
        <v>162</v>
      </c>
      <c r="H4" s="60" t="s">
        <v>164</v>
      </c>
      <c r="I4" s="60" t="s">
        <v>214</v>
      </c>
      <c r="J4" s="60" t="s">
        <v>163</v>
      </c>
    </row>
    <row r="5" spans="1:10">
      <c r="A5" s="45"/>
      <c r="B5" s="45" t="s">
        <v>146</v>
      </c>
      <c r="C5" s="60"/>
      <c r="D5" s="60"/>
      <c r="E5" s="60"/>
      <c r="F5" s="60"/>
      <c r="G5" s="52"/>
      <c r="H5" s="52"/>
      <c r="I5" s="52"/>
      <c r="J5" s="52"/>
    </row>
    <row r="6" spans="1:10">
      <c r="A6" s="45"/>
      <c r="B6" s="45">
        <v>3</v>
      </c>
      <c r="C6" s="53" t="s">
        <v>156</v>
      </c>
      <c r="D6" s="60">
        <v>2</v>
      </c>
      <c r="E6" s="52">
        <v>3.0205427848896829</v>
      </c>
      <c r="F6" s="52">
        <v>1.5102713924448414</v>
      </c>
      <c r="G6" s="52">
        <v>1.7656198954863955</v>
      </c>
      <c r="H6" s="52">
        <v>1.3097879431418336</v>
      </c>
      <c r="I6" s="52" t="s">
        <v>215</v>
      </c>
      <c r="J6" s="52">
        <v>8.5853889196534716</v>
      </c>
    </row>
    <row r="7" spans="1:10">
      <c r="A7" s="45"/>
      <c r="B7" s="45">
        <v>1</v>
      </c>
      <c r="C7" s="53" t="s">
        <v>157</v>
      </c>
      <c r="D7" s="60">
        <v>2</v>
      </c>
      <c r="E7" s="52">
        <v>5.915423233788851</v>
      </c>
      <c r="F7" s="52">
        <v>2.9577116168944255</v>
      </c>
      <c r="G7" s="52">
        <v>3.4577854695680199</v>
      </c>
      <c r="H7" s="52">
        <v>4.2046683920410022</v>
      </c>
      <c r="I7" s="52" t="s">
        <v>215</v>
      </c>
      <c r="J7" s="52">
        <v>38.774375159240577</v>
      </c>
    </row>
    <row r="8" spans="1:10">
      <c r="A8" s="45"/>
      <c r="B8" s="45">
        <v>2</v>
      </c>
      <c r="C8" s="53" t="s">
        <v>152</v>
      </c>
      <c r="D8" s="60">
        <v>2</v>
      </c>
      <c r="E8" s="52">
        <v>4.6092908986157415</v>
      </c>
      <c r="F8" s="52">
        <v>2.3046454493078707</v>
      </c>
      <c r="G8" s="52">
        <v>2.6943024132589954</v>
      </c>
      <c r="H8" s="52">
        <v>2.8985360568678922</v>
      </c>
      <c r="I8" s="52" t="s">
        <v>215</v>
      </c>
      <c r="J8" s="52">
        <v>30.212947993330225</v>
      </c>
    </row>
    <row r="9" spans="1:10">
      <c r="A9" s="45"/>
      <c r="B9" s="45">
        <v>4</v>
      </c>
      <c r="C9" s="53" t="s">
        <v>201</v>
      </c>
      <c r="D9" s="60">
        <v>2</v>
      </c>
      <c r="E9" s="52">
        <v>1.7107548417478493</v>
      </c>
      <c r="F9" s="52">
        <v>0.85537742087392465</v>
      </c>
      <c r="G9" s="52"/>
      <c r="H9" s="52">
        <v>0</v>
      </c>
      <c r="I9" s="52" t="s">
        <v>215</v>
      </c>
      <c r="J9" s="52">
        <v>22.427287927775723</v>
      </c>
    </row>
    <row r="10" spans="1:10">
      <c r="A10" s="45"/>
      <c r="B10" s="45"/>
      <c r="C10" s="60"/>
      <c r="D10" s="60"/>
      <c r="E10" s="52"/>
      <c r="F10" s="52"/>
      <c r="G10" s="52"/>
      <c r="H10" s="52"/>
      <c r="I10" s="52"/>
      <c r="J10" s="52"/>
    </row>
    <row r="11" spans="1:10">
      <c r="A11" s="45"/>
      <c r="B11" s="45"/>
      <c r="C11" s="60" t="s">
        <v>159</v>
      </c>
      <c r="D11" s="60">
        <v>8</v>
      </c>
      <c r="E11" s="52">
        <v>15.256011759042126</v>
      </c>
      <c r="F11" s="52">
        <v>1.9070014698802658</v>
      </c>
      <c r="G11" s="60"/>
      <c r="H11" s="60"/>
      <c r="I11" s="60"/>
      <c r="J11" s="52">
        <v>100</v>
      </c>
    </row>
    <row r="12" spans="1:10">
      <c r="A12" s="45"/>
      <c r="B12" s="45"/>
      <c r="C12" s="45"/>
      <c r="D12" s="45"/>
      <c r="E12" s="45"/>
      <c r="F12" s="45"/>
      <c r="G12" s="48"/>
      <c r="H12" s="48"/>
      <c r="I12" s="48"/>
      <c r="J12" s="45"/>
    </row>
    <row r="13" spans="1:10">
      <c r="A13" s="45"/>
      <c r="B13" s="45"/>
      <c r="C13" s="45" t="s">
        <v>154</v>
      </c>
      <c r="D13" s="45"/>
      <c r="E13" s="45"/>
      <c r="F13" s="45"/>
      <c r="G13" s="45"/>
      <c r="H13" s="45"/>
      <c r="I13" s="45"/>
      <c r="J13" s="45"/>
    </row>
    <row r="14" spans="1:10">
      <c r="A14" s="45"/>
      <c r="B14" s="45"/>
      <c r="C14" s="213" t="s">
        <v>202</v>
      </c>
      <c r="D14" s="213"/>
      <c r="E14" s="213"/>
      <c r="F14" s="213"/>
      <c r="G14" s="213"/>
      <c r="H14" s="213"/>
      <c r="I14" s="213"/>
      <c r="J14" s="213"/>
    </row>
    <row r="15" spans="1:10">
      <c r="A15" s="45"/>
      <c r="B15" s="45" t="s">
        <v>146</v>
      </c>
      <c r="C15" s="60" t="s">
        <v>155</v>
      </c>
      <c r="D15" s="60" t="s">
        <v>160</v>
      </c>
      <c r="E15" s="60" t="s">
        <v>161</v>
      </c>
      <c r="F15" s="60" t="s">
        <v>168</v>
      </c>
      <c r="G15" s="60" t="s">
        <v>162</v>
      </c>
      <c r="H15" s="60" t="s">
        <v>164</v>
      </c>
      <c r="I15" s="60" t="s">
        <v>170</v>
      </c>
      <c r="J15" s="60" t="s">
        <v>163</v>
      </c>
    </row>
    <row r="16" spans="1:10">
      <c r="A16" s="45"/>
      <c r="B16" s="45">
        <v>3</v>
      </c>
      <c r="C16" s="53" t="s">
        <v>156</v>
      </c>
      <c r="D16" s="60">
        <v>2</v>
      </c>
      <c r="E16" s="52">
        <v>2.3860906892935745</v>
      </c>
      <c r="F16" s="52">
        <v>1.1930453446467872</v>
      </c>
      <c r="G16" s="52">
        <v>1.1496766407319092</v>
      </c>
      <c r="H16" s="52">
        <v>0.61080185809676713</v>
      </c>
      <c r="I16" s="52"/>
      <c r="J16" s="52">
        <v>4.714495062229096</v>
      </c>
    </row>
    <row r="17" spans="1:11">
      <c r="A17" s="45"/>
      <c r="B17" s="45">
        <v>1</v>
      </c>
      <c r="C17" s="53" t="s">
        <v>157</v>
      </c>
      <c r="D17" s="60">
        <v>2</v>
      </c>
      <c r="E17" s="52">
        <v>5.1894069779819212</v>
      </c>
      <c r="F17" s="52">
        <v>2.5947034889909606</v>
      </c>
      <c r="G17" s="52">
        <v>2.5003827426204484</v>
      </c>
      <c r="H17" s="52">
        <v>3.414118146785114</v>
      </c>
      <c r="I17" s="52"/>
      <c r="J17" s="52">
        <v>26.351987852556871</v>
      </c>
    </row>
    <row r="18" spans="1:11">
      <c r="A18" s="45"/>
      <c r="B18" s="45">
        <v>2</v>
      </c>
      <c r="C18" s="53" t="s">
        <v>152</v>
      </c>
      <c r="D18" s="60">
        <v>2</v>
      </c>
      <c r="E18" s="52">
        <v>3.6050412208162457</v>
      </c>
      <c r="F18" s="52">
        <v>1.8025206104081228</v>
      </c>
      <c r="G18" s="52">
        <v>1.7369967114180145</v>
      </c>
      <c r="H18" s="52">
        <v>1.8297523896194383</v>
      </c>
      <c r="I18" s="52"/>
      <c r="J18" s="52">
        <v>14.123006489931287</v>
      </c>
      <c r="K18" s="26"/>
    </row>
    <row r="19" spans="1:11">
      <c r="A19" s="45"/>
      <c r="B19" s="45">
        <v>4</v>
      </c>
      <c r="C19" s="53" t="s">
        <v>203</v>
      </c>
      <c r="D19" s="60">
        <v>2</v>
      </c>
      <c r="E19" s="52">
        <v>1.7752888311968074</v>
      </c>
      <c r="F19" s="52">
        <v>0.88764441559840368</v>
      </c>
      <c r="G19" s="52">
        <v>1.0377225233412315</v>
      </c>
      <c r="H19" s="52">
        <v>0.67533584754572518</v>
      </c>
      <c r="I19" s="52"/>
      <c r="J19" s="52">
        <v>54.81051059528275</v>
      </c>
      <c r="K19" s="26"/>
    </row>
    <row r="20" spans="1:11">
      <c r="A20" s="45"/>
      <c r="B20" s="45"/>
      <c r="C20" s="60"/>
      <c r="D20" s="60"/>
      <c r="E20" s="60"/>
      <c r="F20" s="60"/>
      <c r="G20" s="60"/>
      <c r="H20" s="60"/>
      <c r="I20" s="60"/>
      <c r="J20" s="60"/>
      <c r="K20" s="26"/>
    </row>
    <row r="21" spans="1:11">
      <c r="A21" s="45"/>
      <c r="B21" s="45"/>
      <c r="C21" s="53" t="s">
        <v>159</v>
      </c>
      <c r="D21" s="60">
        <v>8</v>
      </c>
      <c r="E21" s="52">
        <v>12.955827719288548</v>
      </c>
      <c r="F21" s="60"/>
      <c r="G21" s="60"/>
      <c r="H21" s="60"/>
      <c r="I21" s="60"/>
      <c r="J21" s="52">
        <v>100</v>
      </c>
      <c r="K21" s="26"/>
    </row>
    <row r="22" spans="1:1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26"/>
    </row>
    <row r="23" spans="1:11">
      <c r="A23" s="45"/>
      <c r="B23" s="45"/>
      <c r="C23" s="45" t="s">
        <v>154</v>
      </c>
      <c r="D23" s="45"/>
      <c r="E23" s="45"/>
      <c r="F23" s="45"/>
      <c r="G23" s="45"/>
      <c r="H23" s="45"/>
      <c r="I23" s="45"/>
      <c r="J23" s="45"/>
    </row>
    <row r="24" spans="1:11">
      <c r="A24" s="45"/>
      <c r="B24" s="45"/>
      <c r="C24" s="213" t="s">
        <v>108</v>
      </c>
      <c r="D24" s="213"/>
      <c r="E24" s="213"/>
      <c r="F24" s="213"/>
      <c r="G24" s="213"/>
      <c r="H24" s="213"/>
      <c r="I24" s="213"/>
      <c r="J24" s="213"/>
    </row>
    <row r="25" spans="1:11">
      <c r="A25" s="45"/>
      <c r="B25" s="45" t="s">
        <v>146</v>
      </c>
      <c r="C25" s="60" t="s">
        <v>155</v>
      </c>
      <c r="D25" s="60" t="s">
        <v>160</v>
      </c>
      <c r="E25" s="60" t="s">
        <v>161</v>
      </c>
      <c r="F25" s="60" t="s">
        <v>168</v>
      </c>
      <c r="G25" s="60" t="s">
        <v>162</v>
      </c>
      <c r="H25" s="60" t="s">
        <v>164</v>
      </c>
      <c r="I25" s="60" t="s">
        <v>170</v>
      </c>
      <c r="J25" s="60" t="s">
        <v>163</v>
      </c>
    </row>
    <row r="26" spans="1:11">
      <c r="A26" s="45"/>
      <c r="B26" s="45">
        <v>3</v>
      </c>
      <c r="C26" s="53" t="s">
        <v>157</v>
      </c>
      <c r="D26" s="60">
        <v>2</v>
      </c>
      <c r="E26" s="52">
        <v>80.380800706135886</v>
      </c>
      <c r="F26" s="52">
        <v>40.190400353067943</v>
      </c>
      <c r="G26" s="52">
        <v>2.8842747808296432</v>
      </c>
      <c r="H26" s="52">
        <v>52.512165844995906</v>
      </c>
      <c r="I26" s="52"/>
      <c r="J26" s="52">
        <v>16.697448629212406</v>
      </c>
    </row>
    <row r="27" spans="1:11">
      <c r="A27" s="45"/>
      <c r="B27" s="45">
        <v>2</v>
      </c>
      <c r="C27" s="53" t="s">
        <v>152</v>
      </c>
      <c r="D27" s="60">
        <v>2</v>
      </c>
      <c r="E27" s="52">
        <v>82.540580231317051</v>
      </c>
      <c r="F27" s="52">
        <v>41.270290115658526</v>
      </c>
      <c r="G27" s="52">
        <v>2.9617733571302987</v>
      </c>
      <c r="H27" s="52">
        <v>54.67194537017707</v>
      </c>
      <c r="I27" s="52"/>
      <c r="J27" s="52">
        <v>17.384200110356538</v>
      </c>
    </row>
    <row r="28" spans="1:11">
      <c r="A28" s="45"/>
      <c r="B28" s="45">
        <v>1</v>
      </c>
      <c r="C28" s="53" t="s">
        <v>207</v>
      </c>
      <c r="D28" s="60">
        <v>2</v>
      </c>
      <c r="E28" s="52">
        <v>123.70213812919451</v>
      </c>
      <c r="F28" s="52">
        <v>61.851069064597255</v>
      </c>
      <c r="G28" s="52">
        <v>4.4387584374175688</v>
      </c>
      <c r="H28" s="52">
        <v>95.833503268054528</v>
      </c>
      <c r="I28" s="52"/>
      <c r="J28" s="52">
        <v>30.472462371846479</v>
      </c>
    </row>
    <row r="29" spans="1:11">
      <c r="A29" s="45"/>
      <c r="B29" s="45">
        <v>4</v>
      </c>
      <c r="C29" s="53" t="s">
        <v>204</v>
      </c>
      <c r="D29" s="60">
        <v>2</v>
      </c>
      <c r="E29" s="52">
        <v>27.868634861139984</v>
      </c>
      <c r="F29" s="52">
        <v>13.934317430569992</v>
      </c>
      <c r="G29" s="52"/>
      <c r="H29" s="52"/>
      <c r="I29" s="52"/>
      <c r="J29" s="52">
        <v>35.445888888584577</v>
      </c>
    </row>
    <row r="30" spans="1:11">
      <c r="A30" s="45"/>
      <c r="B30" s="45"/>
      <c r="C30" s="53"/>
      <c r="D30" s="60"/>
      <c r="E30" s="60"/>
      <c r="F30" s="60"/>
      <c r="G30" s="60"/>
      <c r="H30" s="60"/>
      <c r="I30" s="60"/>
      <c r="J30" s="60"/>
    </row>
    <row r="31" spans="1:11">
      <c r="A31" s="45"/>
      <c r="B31" s="45"/>
      <c r="C31" s="53" t="s">
        <v>159</v>
      </c>
      <c r="D31" s="60">
        <v>8</v>
      </c>
      <c r="E31" s="52">
        <v>314.4921539277874</v>
      </c>
      <c r="F31" s="60"/>
      <c r="G31" s="60"/>
      <c r="H31" s="60"/>
      <c r="I31" s="60"/>
      <c r="J31" s="52">
        <v>64.554111111415423</v>
      </c>
    </row>
    <row r="32" spans="1:11">
      <c r="A32" s="45"/>
      <c r="B32" s="45"/>
      <c r="C32" s="60" t="s">
        <v>154</v>
      </c>
      <c r="D32" s="45"/>
      <c r="E32" s="45"/>
      <c r="F32" s="45"/>
      <c r="G32" s="45"/>
      <c r="H32" s="45"/>
      <c r="I32" s="45"/>
      <c r="J32" s="45"/>
    </row>
    <row r="33" spans="1:10">
      <c r="A33" s="45"/>
      <c r="B33" s="45"/>
      <c r="C33" s="214" t="s">
        <v>107</v>
      </c>
      <c r="D33" s="215"/>
      <c r="E33" s="215"/>
      <c r="F33" s="215"/>
      <c r="G33" s="215"/>
      <c r="H33" s="215"/>
      <c r="I33" s="215"/>
      <c r="J33" s="216"/>
    </row>
    <row r="34" spans="1:10">
      <c r="A34" s="45"/>
      <c r="B34" s="45"/>
      <c r="C34" s="60" t="s">
        <v>107</v>
      </c>
      <c r="D34" s="60"/>
      <c r="E34" s="60"/>
      <c r="F34" s="60"/>
      <c r="G34" s="60"/>
      <c r="H34" s="60"/>
      <c r="I34" s="60"/>
      <c r="J34" s="60"/>
    </row>
    <row r="35" spans="1:10">
      <c r="A35" s="45"/>
      <c r="B35" s="45" t="s">
        <v>213</v>
      </c>
      <c r="C35" s="60" t="s">
        <v>155</v>
      </c>
      <c r="D35" s="60" t="s">
        <v>160</v>
      </c>
      <c r="E35" s="60" t="s">
        <v>161</v>
      </c>
      <c r="F35" s="60" t="s">
        <v>168</v>
      </c>
      <c r="G35" s="60" t="s">
        <v>162</v>
      </c>
      <c r="H35" s="60" t="s">
        <v>164</v>
      </c>
      <c r="I35" s="60" t="s">
        <v>170</v>
      </c>
      <c r="J35" s="60" t="s">
        <v>163</v>
      </c>
    </row>
    <row r="36" spans="1:10">
      <c r="A36" s="45"/>
      <c r="B36" s="45">
        <v>3</v>
      </c>
      <c r="C36" s="53" t="s">
        <v>205</v>
      </c>
      <c r="D36" s="60">
        <v>2</v>
      </c>
      <c r="E36" s="52">
        <v>16.124955837616472</v>
      </c>
      <c r="F36" s="52">
        <v>8.0624779188082361</v>
      </c>
      <c r="G36" s="52">
        <v>6.203592940162677</v>
      </c>
      <c r="H36" s="52">
        <v>13.525662816112449</v>
      </c>
      <c r="I36" s="52"/>
      <c r="J36" s="52">
        <v>13.63228955388146</v>
      </c>
    </row>
    <row r="37" spans="1:10">
      <c r="A37" s="45"/>
      <c r="B37" s="45">
        <v>2</v>
      </c>
      <c r="C37" s="53" t="s">
        <v>157</v>
      </c>
      <c r="D37" s="60">
        <v>2</v>
      </c>
      <c r="E37" s="52">
        <v>12.065040486021234</v>
      </c>
      <c r="F37" s="52">
        <v>6.0325202430106168</v>
      </c>
      <c r="G37" s="52">
        <v>4.6416623236421666</v>
      </c>
      <c r="H37" s="52">
        <v>9.4657474645172108</v>
      </c>
      <c r="I37" s="52"/>
      <c r="J37" s="52">
        <v>9.5403687075874153</v>
      </c>
    </row>
    <row r="38" spans="1:10">
      <c r="A38" s="45"/>
      <c r="B38" s="45">
        <v>1</v>
      </c>
      <c r="C38" s="53" t="s">
        <v>207</v>
      </c>
      <c r="D38" s="60">
        <v>2</v>
      </c>
      <c r="E38" s="52">
        <v>68.428547560775144</v>
      </c>
      <c r="F38" s="52">
        <v>34.214273780387572</v>
      </c>
      <c r="G38" s="52">
        <v>26.325830521862628</v>
      </c>
      <c r="H38" s="52">
        <v>65.829254539271119</v>
      </c>
      <c r="I38" s="52" t="s">
        <v>208</v>
      </c>
      <c r="J38" s="52">
        <v>66.348205717983532</v>
      </c>
    </row>
    <row r="39" spans="1:10">
      <c r="A39" s="45"/>
      <c r="B39" s="45">
        <v>4</v>
      </c>
      <c r="C39" s="53" t="s">
        <v>216</v>
      </c>
      <c r="D39" s="60">
        <v>2</v>
      </c>
      <c r="E39" s="52">
        <v>2.5992930215040233</v>
      </c>
      <c r="F39" s="52">
        <v>1.2996465107520117</v>
      </c>
      <c r="G39" s="52"/>
      <c r="H39" s="52"/>
      <c r="I39" s="52"/>
      <c r="J39" s="52">
        <v>10.4791360205476</v>
      </c>
    </row>
    <row r="40" spans="1:10">
      <c r="A40" s="45"/>
      <c r="B40" s="45"/>
      <c r="C40" s="60"/>
      <c r="D40" s="60"/>
      <c r="E40" s="60"/>
      <c r="F40" s="60"/>
      <c r="G40" s="52"/>
      <c r="H40" s="52"/>
      <c r="I40" s="60"/>
      <c r="J40" s="52"/>
    </row>
    <row r="41" spans="1:10">
      <c r="A41" s="45"/>
      <c r="B41" s="45"/>
      <c r="C41" s="53" t="s">
        <v>159</v>
      </c>
      <c r="D41" s="60">
        <v>8</v>
      </c>
      <c r="E41" s="52">
        <v>99.217836905916869</v>
      </c>
      <c r="F41" s="60"/>
      <c r="G41" s="60"/>
      <c r="H41" s="60"/>
      <c r="I41" s="60"/>
      <c r="J41" s="52">
        <v>100</v>
      </c>
    </row>
    <row r="42" spans="1:10">
      <c r="A42" s="45"/>
      <c r="B42" s="45"/>
      <c r="C42" s="45" t="s">
        <v>154</v>
      </c>
      <c r="D42" s="45"/>
      <c r="E42" s="45"/>
      <c r="F42" s="45"/>
      <c r="G42" s="45"/>
      <c r="H42" s="45"/>
      <c r="I42" s="45"/>
      <c r="J42" s="45"/>
    </row>
    <row r="43" spans="1:10">
      <c r="A43" s="45"/>
      <c r="B43" s="45"/>
      <c r="C43" s="45"/>
      <c r="D43" s="45"/>
      <c r="E43" s="45"/>
      <c r="F43" s="45"/>
      <c r="G43" s="45"/>
      <c r="H43" s="45"/>
      <c r="I43" s="45"/>
      <c r="J43" s="45"/>
    </row>
    <row r="44" spans="1:10">
      <c r="A44" s="45"/>
      <c r="D44" t="s">
        <v>154</v>
      </c>
    </row>
    <row r="45" spans="1:10">
      <c r="C45" s="87"/>
      <c r="D45" s="88" t="s">
        <v>210</v>
      </c>
      <c r="E45" s="88"/>
      <c r="F45" s="88"/>
      <c r="G45" s="88"/>
      <c r="H45" s="88"/>
      <c r="I45" s="88"/>
      <c r="J45" s="89"/>
    </row>
    <row r="46" spans="1:10">
      <c r="C46" s="21" t="s">
        <v>155</v>
      </c>
      <c r="D46" s="21" t="s">
        <v>160</v>
      </c>
      <c r="E46" s="21" t="s">
        <v>161</v>
      </c>
      <c r="F46" s="21" t="s">
        <v>168</v>
      </c>
      <c r="G46" s="21" t="s">
        <v>162</v>
      </c>
      <c r="H46" s="21" t="s">
        <v>164</v>
      </c>
      <c r="I46" s="21" t="s">
        <v>170</v>
      </c>
      <c r="J46" s="21" t="s">
        <v>163</v>
      </c>
    </row>
    <row r="47" spans="1:10">
      <c r="B47" s="45" t="s">
        <v>146</v>
      </c>
      <c r="C47" s="21"/>
      <c r="D47" s="21"/>
      <c r="E47" s="21"/>
      <c r="F47" s="79"/>
      <c r="G47" s="79"/>
      <c r="H47" s="80"/>
      <c r="I47" s="79"/>
      <c r="J47" s="21"/>
    </row>
    <row r="48" spans="1:10">
      <c r="B48" s="45">
        <v>1</v>
      </c>
      <c r="C48" s="81" t="s">
        <v>157</v>
      </c>
      <c r="D48" s="97">
        <v>2</v>
      </c>
      <c r="E48" s="79">
        <v>180.84147196439937</v>
      </c>
      <c r="F48" s="79">
        <v>90.420735982199687</v>
      </c>
      <c r="G48" s="79">
        <v>101.39149747363128</v>
      </c>
      <c r="H48" s="83">
        <v>179.94967395139818</v>
      </c>
      <c r="I48" s="79" t="s">
        <v>217</v>
      </c>
      <c r="J48" s="21">
        <v>92.808117466320283</v>
      </c>
    </row>
    <row r="49" spans="1:10">
      <c r="B49" s="45">
        <v>2</v>
      </c>
      <c r="C49" s="81" t="s">
        <v>209</v>
      </c>
      <c r="D49" s="97">
        <v>2</v>
      </c>
      <c r="E49" s="79">
        <v>11.269258135436587</v>
      </c>
      <c r="F49" s="79">
        <v>5.6346290677182935</v>
      </c>
      <c r="G49" s="79">
        <v>6.3182794596681457</v>
      </c>
      <c r="H49" s="84">
        <v>10.377460122435396</v>
      </c>
      <c r="I49" s="79" t="s">
        <v>218</v>
      </c>
      <c r="J49" s="21">
        <v>5.3521216065396233</v>
      </c>
    </row>
    <row r="50" spans="1:10">
      <c r="B50" s="45">
        <v>4</v>
      </c>
      <c r="C50" s="94" t="s">
        <v>229</v>
      </c>
      <c r="D50" s="97">
        <v>2</v>
      </c>
      <c r="E50" s="79">
        <v>0.20741787477448914</v>
      </c>
      <c r="F50" s="79">
        <v>0.10370893738724457</v>
      </c>
      <c r="G50" s="79"/>
      <c r="H50" s="82"/>
      <c r="I50" s="79"/>
      <c r="J50" s="21"/>
    </row>
    <row r="51" spans="1:10">
      <c r="B51" s="45">
        <v>3</v>
      </c>
      <c r="C51" s="94" t="s">
        <v>230</v>
      </c>
      <c r="D51" s="97">
        <v>2</v>
      </c>
      <c r="E51" s="79">
        <v>1.5761781512278934</v>
      </c>
      <c r="F51" s="79">
        <v>0.7880890756139467</v>
      </c>
      <c r="G51" s="79"/>
      <c r="H51" s="52"/>
      <c r="I51" s="79"/>
      <c r="J51" s="21"/>
    </row>
    <row r="52" spans="1:10">
      <c r="A52" s="45"/>
      <c r="C52" s="94" t="s">
        <v>158</v>
      </c>
      <c r="D52" s="62">
        <v>4</v>
      </c>
      <c r="E52" s="62">
        <v>1.7835960260023827</v>
      </c>
      <c r="F52" s="62">
        <v>0.89179801300119133</v>
      </c>
      <c r="G52" s="62"/>
      <c r="H52" s="62"/>
      <c r="I52" s="52"/>
      <c r="J52" s="21">
        <v>1.839760927140091</v>
      </c>
    </row>
    <row r="53" spans="1:10">
      <c r="A53" s="45"/>
      <c r="C53" s="81" t="s">
        <v>159</v>
      </c>
      <c r="D53" s="79">
        <v>8</v>
      </c>
      <c r="E53" s="21">
        <v>193.89432612583835</v>
      </c>
      <c r="F53" s="21"/>
      <c r="G53" s="21"/>
      <c r="H53" s="21"/>
      <c r="I53" s="52"/>
      <c r="J53" s="21">
        <v>100</v>
      </c>
    </row>
    <row r="56" spans="1:10">
      <c r="B56" s="45" t="s">
        <v>146</v>
      </c>
      <c r="C56" s="60" t="s">
        <v>155</v>
      </c>
      <c r="D56" s="60" t="s">
        <v>160</v>
      </c>
      <c r="E56" s="60" t="s">
        <v>161</v>
      </c>
      <c r="F56" s="60" t="s">
        <v>168</v>
      </c>
      <c r="G56" s="60" t="s">
        <v>162</v>
      </c>
      <c r="H56" s="60" t="s">
        <v>164</v>
      </c>
      <c r="I56" s="60" t="s">
        <v>170</v>
      </c>
      <c r="J56" s="60" t="s">
        <v>163</v>
      </c>
    </row>
    <row r="57" spans="1:10">
      <c r="B57" s="45">
        <v>1</v>
      </c>
      <c r="C57" s="53" t="s">
        <v>157</v>
      </c>
      <c r="D57" s="60">
        <v>2</v>
      </c>
      <c r="E57" s="52">
        <v>5.9600989650463658</v>
      </c>
      <c r="F57" s="52">
        <v>2.9800494825231829</v>
      </c>
      <c r="G57" s="52">
        <v>6.6901571001624447</v>
      </c>
      <c r="H57" s="52">
        <v>5.5146610720481846</v>
      </c>
      <c r="I57" s="86" t="s">
        <v>219</v>
      </c>
      <c r="J57" s="52">
        <v>68.156028563718365</v>
      </c>
    </row>
    <row r="58" spans="1:10">
      <c r="B58" s="45">
        <v>2</v>
      </c>
      <c r="C58" s="53" t="s">
        <v>207</v>
      </c>
      <c r="D58" s="60">
        <v>2</v>
      </c>
      <c r="E58" s="52">
        <v>1.2402553107156149</v>
      </c>
      <c r="F58" s="52">
        <v>0.62012765535780745</v>
      </c>
      <c r="G58" s="52">
        <v>1.3921753517281907</v>
      </c>
      <c r="H58" s="52">
        <v>0.79481741771743342</v>
      </c>
      <c r="I58" s="52"/>
      <c r="J58" s="52">
        <v>9.8231963700301446</v>
      </c>
    </row>
    <row r="59" spans="1:10">
      <c r="B59" s="45">
        <v>4</v>
      </c>
      <c r="C59" s="95" t="s">
        <v>231</v>
      </c>
      <c r="D59" s="60">
        <v>2</v>
      </c>
      <c r="E59" s="52">
        <v>0.26701548170770661</v>
      </c>
      <c r="F59" s="52">
        <v>0.13350774085385331</v>
      </c>
      <c r="G59" s="52"/>
      <c r="H59" s="52"/>
      <c r="I59" s="52"/>
      <c r="J59" s="52"/>
    </row>
    <row r="60" spans="1:10">
      <c r="B60" s="45">
        <v>3</v>
      </c>
      <c r="C60" s="95" t="s">
        <v>229</v>
      </c>
      <c r="D60" s="60">
        <v>2</v>
      </c>
      <c r="E60" s="52">
        <v>0.62386030428865624</v>
      </c>
      <c r="F60" s="52">
        <v>0.31193015214432812</v>
      </c>
      <c r="G60" s="52"/>
      <c r="H60" s="52"/>
      <c r="I60" s="52"/>
      <c r="J60" s="52"/>
    </row>
    <row r="61" spans="1:10">
      <c r="A61" s="45"/>
      <c r="B61" s="45"/>
      <c r="C61" s="53" t="s">
        <v>158</v>
      </c>
      <c r="D61" s="60">
        <v>4</v>
      </c>
      <c r="E61" s="52">
        <v>0.89087578599636286</v>
      </c>
      <c r="F61" s="52">
        <v>0.44543789299818143</v>
      </c>
      <c r="G61" s="60"/>
      <c r="H61" s="60"/>
      <c r="I61" s="60"/>
      <c r="J61" s="52">
        <v>22.020775066251488</v>
      </c>
    </row>
    <row r="62" spans="1:10">
      <c r="A62" s="45"/>
      <c r="B62" s="45"/>
      <c r="C62" s="53" t="s">
        <v>159</v>
      </c>
      <c r="D62" s="60">
        <v>8</v>
      </c>
      <c r="E62" s="52">
        <v>8.0912300617583437</v>
      </c>
      <c r="F62" s="60"/>
      <c r="G62" s="60"/>
      <c r="H62" s="60"/>
      <c r="I62" s="60"/>
      <c r="J62" s="52">
        <v>77.979224933748512</v>
      </c>
    </row>
    <row r="63" spans="1:10">
      <c r="A63" s="45"/>
      <c r="B63" s="45"/>
      <c r="C63" s="45"/>
      <c r="D63" s="45"/>
      <c r="E63" s="45"/>
      <c r="F63" s="45"/>
      <c r="G63" s="45"/>
      <c r="H63" s="45"/>
      <c r="I63" s="45"/>
      <c r="J63" s="45"/>
    </row>
    <row r="65" spans="3:5">
      <c r="C65" s="26"/>
      <c r="D65" s="26"/>
      <c r="E65" s="26"/>
    </row>
    <row r="66" spans="3:5">
      <c r="C66" s="26"/>
      <c r="D66" s="26"/>
      <c r="E66" s="26"/>
    </row>
    <row r="128" spans="3:8">
      <c r="C128" s="26"/>
      <c r="D128" s="26"/>
      <c r="E128" s="26"/>
      <c r="F128" s="26"/>
      <c r="G128" s="26"/>
      <c r="H128" s="26"/>
    </row>
    <row r="129" spans="3:5">
      <c r="C129" s="26"/>
      <c r="D129" s="26"/>
      <c r="E129" s="26"/>
    </row>
    <row r="130" spans="3:5">
      <c r="C130" s="26"/>
      <c r="D130" s="26"/>
      <c r="E130" s="26"/>
    </row>
    <row r="131" spans="3:5">
      <c r="C131" s="26"/>
      <c r="D131" s="26"/>
      <c r="E131" s="26"/>
    </row>
    <row r="132" spans="3:5">
      <c r="C132" s="26"/>
      <c r="D132" s="26"/>
      <c r="E132" s="26"/>
    </row>
    <row r="133" spans="3:5">
      <c r="C133" s="26"/>
      <c r="D133" s="26"/>
      <c r="E133" s="26"/>
    </row>
    <row r="134" spans="3:5">
      <c r="C134" s="26"/>
      <c r="D134" s="26"/>
      <c r="E134" s="26"/>
    </row>
    <row r="135" spans="3:5">
      <c r="C135" s="26"/>
      <c r="D135" s="26"/>
      <c r="E135" s="26"/>
    </row>
    <row r="136" spans="3:5">
      <c r="C136" s="26"/>
      <c r="D136" s="26"/>
      <c r="E136" s="26"/>
    </row>
    <row r="137" spans="3:5">
      <c r="C137" s="26"/>
      <c r="D137" s="26"/>
      <c r="E137" s="26"/>
    </row>
  </sheetData>
  <mergeCells count="4">
    <mergeCell ref="C3:J3"/>
    <mergeCell ref="C14:J14"/>
    <mergeCell ref="C24:J24"/>
    <mergeCell ref="C33:J3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C3:P29"/>
  <sheetViews>
    <sheetView topLeftCell="A7" workbookViewId="0">
      <selection activeCell="G17" sqref="G17:O20"/>
    </sheetView>
  </sheetViews>
  <sheetFormatPr defaultRowHeight="15"/>
  <cols>
    <col min="4" max="4" width="9.28515625" customWidth="1"/>
    <col min="5" max="5" width="10.140625" bestFit="1" customWidth="1"/>
    <col min="6" max="6" width="6.5703125" bestFit="1" customWidth="1"/>
    <col min="7" max="7" width="12.5703125" bestFit="1" customWidth="1"/>
    <col min="8" max="8" width="15.7109375" bestFit="1" customWidth="1"/>
    <col min="9" max="9" width="12.42578125" bestFit="1" customWidth="1"/>
    <col min="10" max="10" width="18.7109375" bestFit="1" customWidth="1"/>
    <col min="11" max="11" width="12.5703125" bestFit="1" customWidth="1"/>
  </cols>
  <sheetData>
    <row r="3" spans="3:16">
      <c r="C3" s="96"/>
      <c r="D3" s="96" t="s">
        <v>116</v>
      </c>
      <c r="E3" s="96" t="s">
        <v>116</v>
      </c>
      <c r="F3" s="96" t="s">
        <v>119</v>
      </c>
      <c r="G3" s="96" t="s">
        <v>121</v>
      </c>
      <c r="H3" s="96" t="s">
        <v>226</v>
      </c>
      <c r="I3" s="96" t="s">
        <v>136</v>
      </c>
      <c r="J3" s="96" t="s">
        <v>225</v>
      </c>
      <c r="K3" s="96" t="s">
        <v>137</v>
      </c>
      <c r="L3" s="45"/>
    </row>
    <row r="4" spans="3:16">
      <c r="C4" s="96" t="s">
        <v>115</v>
      </c>
      <c r="D4" s="96" t="s">
        <v>117</v>
      </c>
      <c r="E4" s="96" t="s">
        <v>118</v>
      </c>
      <c r="F4" s="96" t="s">
        <v>120</v>
      </c>
      <c r="G4" s="96"/>
      <c r="H4" s="96" t="s">
        <v>224</v>
      </c>
      <c r="I4" s="96"/>
      <c r="J4" s="96" t="s">
        <v>228</v>
      </c>
      <c r="K4" s="96" t="s">
        <v>227</v>
      </c>
      <c r="L4" s="45"/>
    </row>
    <row r="5" spans="3:16">
      <c r="C5" s="96">
        <v>1</v>
      </c>
      <c r="D5" s="45" t="s">
        <v>122</v>
      </c>
      <c r="E5" s="45" t="s">
        <v>125</v>
      </c>
      <c r="F5" s="45" t="s">
        <v>128</v>
      </c>
      <c r="G5" s="45">
        <v>690</v>
      </c>
      <c r="H5" s="43">
        <v>156.4165321486559</v>
      </c>
      <c r="I5" s="48">
        <v>2.1704255319148937</v>
      </c>
      <c r="J5" s="43">
        <v>9.4929666666666677</v>
      </c>
      <c r="K5" s="48">
        <v>56.821703325236015</v>
      </c>
      <c r="L5" s="45"/>
    </row>
    <row r="6" spans="3:16">
      <c r="C6" s="96">
        <v>2</v>
      </c>
      <c r="D6" s="45" t="s">
        <v>122</v>
      </c>
      <c r="E6" s="45" t="s">
        <v>126</v>
      </c>
      <c r="F6" s="45" t="s">
        <v>129</v>
      </c>
      <c r="G6" s="45">
        <v>730</v>
      </c>
      <c r="H6" s="43">
        <v>130.01704398623724</v>
      </c>
      <c r="I6" s="48">
        <v>2.5604113561669322</v>
      </c>
      <c r="J6" s="43">
        <v>7.3271166666666661</v>
      </c>
      <c r="K6" s="48">
        <v>48.165380876167376</v>
      </c>
      <c r="L6" s="45"/>
    </row>
    <row r="7" spans="3:16">
      <c r="C7" s="96">
        <v>3</v>
      </c>
      <c r="D7" s="45" t="s">
        <v>122</v>
      </c>
      <c r="E7" s="45" t="s">
        <v>127</v>
      </c>
      <c r="F7" s="45" t="s">
        <v>130</v>
      </c>
      <c r="G7" s="45">
        <v>770</v>
      </c>
      <c r="H7" s="43">
        <v>127.13102249601593</v>
      </c>
      <c r="I7" s="48">
        <v>0.74882625181220019</v>
      </c>
      <c r="J7" s="43">
        <v>5.8408666666666669</v>
      </c>
      <c r="K7" s="48">
        <v>60.535376595011428</v>
      </c>
      <c r="L7" s="45"/>
    </row>
    <row r="8" spans="3:16">
      <c r="C8" s="96">
        <v>4</v>
      </c>
      <c r="D8" s="45" t="s">
        <v>123</v>
      </c>
      <c r="E8" s="45" t="s">
        <v>125</v>
      </c>
      <c r="F8" s="45" t="s">
        <v>129</v>
      </c>
      <c r="G8" s="45">
        <v>770</v>
      </c>
      <c r="H8" s="43">
        <v>127.9930959856062</v>
      </c>
      <c r="I8" s="48">
        <v>2.2832098367697595</v>
      </c>
      <c r="J8" s="43">
        <v>23.662400000000002</v>
      </c>
      <c r="K8" s="48">
        <v>48.87022986909416</v>
      </c>
      <c r="L8" s="45"/>
    </row>
    <row r="9" spans="3:16">
      <c r="C9" s="96">
        <v>5</v>
      </c>
      <c r="D9" s="45" t="s">
        <v>123</v>
      </c>
      <c r="E9" s="45" t="s">
        <v>126</v>
      </c>
      <c r="F9" s="45" t="s">
        <v>130</v>
      </c>
      <c r="G9" s="45">
        <v>690</v>
      </c>
      <c r="H9" s="43">
        <v>132.04723411210514</v>
      </c>
      <c r="I9" s="48">
        <v>0.85047484340270751</v>
      </c>
      <c r="J9" s="43">
        <v>11.467466666666667</v>
      </c>
      <c r="K9" s="48">
        <v>65.696032517072055</v>
      </c>
      <c r="L9" s="45"/>
    </row>
    <row r="10" spans="3:16">
      <c r="C10" s="96">
        <v>6</v>
      </c>
      <c r="D10" s="45" t="s">
        <v>123</v>
      </c>
      <c r="E10" s="45" t="s">
        <v>127</v>
      </c>
      <c r="F10" s="45" t="s">
        <v>128</v>
      </c>
      <c r="G10" s="45">
        <v>730</v>
      </c>
      <c r="H10" s="43">
        <v>150.87277456936494</v>
      </c>
      <c r="I10" s="48">
        <v>1.5197568389057752</v>
      </c>
      <c r="J10" s="43">
        <v>14.333349999999999</v>
      </c>
      <c r="K10" s="48">
        <v>60.535376595011428</v>
      </c>
      <c r="L10" s="45"/>
    </row>
    <row r="11" spans="3:16">
      <c r="C11" s="96">
        <v>7</v>
      </c>
      <c r="D11" s="45" t="s">
        <v>124</v>
      </c>
      <c r="E11" s="45" t="s">
        <v>125</v>
      </c>
      <c r="F11" s="45" t="s">
        <v>130</v>
      </c>
      <c r="G11" s="45">
        <v>730</v>
      </c>
      <c r="H11" s="43">
        <v>93.272761966744554</v>
      </c>
      <c r="I11" s="48">
        <v>0.72871205508680037</v>
      </c>
      <c r="J11" s="43">
        <v>12.631187499999999</v>
      </c>
      <c r="K11" s="48">
        <v>52.628713238170867</v>
      </c>
      <c r="L11" s="45"/>
    </row>
    <row r="12" spans="3:16">
      <c r="C12" s="96">
        <v>8</v>
      </c>
      <c r="D12" s="45" t="s">
        <v>124</v>
      </c>
      <c r="E12" s="45" t="s">
        <v>126</v>
      </c>
      <c r="F12" s="45" t="s">
        <v>128</v>
      </c>
      <c r="G12" s="45">
        <v>770</v>
      </c>
      <c r="H12" s="43">
        <v>127.10704890472027</v>
      </c>
      <c r="I12" s="48">
        <v>1.5427920886141908</v>
      </c>
      <c r="J12" s="43">
        <v>13.979833333333332</v>
      </c>
      <c r="K12" s="48">
        <v>56.821703325236015</v>
      </c>
      <c r="L12" s="45"/>
    </row>
    <row r="13" spans="3:16">
      <c r="C13" s="96">
        <v>9</v>
      </c>
      <c r="D13" s="45" t="s">
        <v>124</v>
      </c>
      <c r="E13" s="45" t="s">
        <v>127</v>
      </c>
      <c r="F13" s="45" t="s">
        <v>129</v>
      </c>
      <c r="G13" s="45">
        <v>690</v>
      </c>
      <c r="H13" s="43">
        <v>157.38879323028294</v>
      </c>
      <c r="I13" s="48">
        <v>3.3554517789441278</v>
      </c>
      <c r="J13" s="43">
        <v>11.78675</v>
      </c>
      <c r="K13" s="48">
        <v>47.475141020247683</v>
      </c>
      <c r="L13" s="45"/>
    </row>
    <row r="14" spans="3:16">
      <c r="D14" s="12"/>
      <c r="E14" s="101"/>
      <c r="F14" s="102"/>
      <c r="G14" s="103"/>
      <c r="H14" s="103"/>
      <c r="I14" s="103"/>
      <c r="J14" s="103"/>
      <c r="K14" s="103"/>
      <c r="L14" s="103"/>
      <c r="M14" s="103"/>
      <c r="N14" s="103"/>
      <c r="O14" s="103"/>
      <c r="P14" s="12"/>
    </row>
    <row r="15" spans="3:16">
      <c r="D15" s="104"/>
      <c r="E15" s="105"/>
      <c r="F15" s="106"/>
      <c r="G15" s="107"/>
      <c r="H15" s="107"/>
      <c r="I15" s="107"/>
      <c r="J15" s="107"/>
      <c r="K15" s="107"/>
      <c r="L15" s="107"/>
      <c r="M15" s="107"/>
      <c r="N15" s="107"/>
      <c r="O15" s="107"/>
      <c r="P15" s="12"/>
    </row>
    <row r="16" spans="3:16">
      <c r="D16" s="104"/>
      <c r="E16" s="105"/>
      <c r="F16" s="106"/>
      <c r="G16" s="107"/>
      <c r="H16" s="107"/>
      <c r="I16" s="107"/>
      <c r="J16" s="107"/>
      <c r="K16" s="107"/>
      <c r="L16" s="107"/>
      <c r="M16" s="107"/>
      <c r="N16" s="107"/>
      <c r="O16" s="107"/>
      <c r="P16" s="12"/>
    </row>
    <row r="17" spans="4:16">
      <c r="D17" s="104"/>
      <c r="E17" s="106"/>
      <c r="F17" s="106"/>
      <c r="G17" s="107">
        <v>170.63106446934836</v>
      </c>
      <c r="H17" s="107">
        <v>138.51184518404057</v>
      </c>
      <c r="I17" s="107">
        <v>140.23174996909785</v>
      </c>
      <c r="J17" s="107">
        <v>153.32048700890149</v>
      </c>
      <c r="K17" s="107">
        <v>134.30406965319858</v>
      </c>
      <c r="L17" s="107">
        <v>150.87277456936494</v>
      </c>
      <c r="M17" s="107">
        <v>79.652688536040003</v>
      </c>
      <c r="N17" s="107">
        <v>103.05995427594313</v>
      </c>
      <c r="O17" s="107">
        <v>154.05845793360641</v>
      </c>
      <c r="P17" s="12"/>
    </row>
    <row r="18" spans="4:16">
      <c r="D18" s="104"/>
      <c r="E18" s="105"/>
      <c r="F18" s="106"/>
      <c r="G18" s="107">
        <v>158.59252869069232</v>
      </c>
      <c r="H18" s="107">
        <v>127.42396286512367</v>
      </c>
      <c r="I18" s="107">
        <v>111.06420830645517</v>
      </c>
      <c r="J18" s="107">
        <v>131.70090990287829</v>
      </c>
      <c r="K18" s="107">
        <v>123.22828007990024</v>
      </c>
      <c r="L18" s="107"/>
      <c r="M18" s="107">
        <v>102.26095388966212</v>
      </c>
      <c r="N18" s="107">
        <v>141.16695589028311</v>
      </c>
      <c r="O18" s="107">
        <v>164.73210196784044</v>
      </c>
      <c r="P18" s="12"/>
    </row>
    <row r="19" spans="4:16">
      <c r="D19" s="108"/>
      <c r="E19" s="105"/>
      <c r="F19" s="106"/>
      <c r="G19" s="107">
        <v>143.28047623184708</v>
      </c>
      <c r="H19" s="107">
        <v>125.33473812107687</v>
      </c>
      <c r="I19" s="107">
        <v>115.9856180063334</v>
      </c>
      <c r="J19" s="107">
        <v>112.99387637194077</v>
      </c>
      <c r="K19" s="107">
        <v>138.60935260321656</v>
      </c>
      <c r="L19" s="107"/>
      <c r="M19" s="107">
        <v>97.904643474531539</v>
      </c>
      <c r="N19" s="107">
        <v>137.0942365479346</v>
      </c>
      <c r="O19" s="107">
        <v>153.37581978940199</v>
      </c>
      <c r="P19" s="12"/>
    </row>
    <row r="20" spans="4:16">
      <c r="D20" s="108"/>
      <c r="E20" s="105"/>
      <c r="F20" s="106"/>
      <c r="G20" s="107">
        <v>153.16205920273586</v>
      </c>
      <c r="H20" s="107">
        <v>128.79762977470781</v>
      </c>
      <c r="I20" s="107">
        <v>141.24251370217732</v>
      </c>
      <c r="J20" s="107">
        <v>113.95711065870429</v>
      </c>
      <c r="K20" s="107"/>
      <c r="L20" s="107"/>
      <c r="M20" s="107"/>
      <c r="N20" s="107"/>
      <c r="O20" s="107"/>
      <c r="P20" s="12"/>
    </row>
    <row r="21" spans="4:16">
      <c r="D21" s="108"/>
      <c r="E21" s="105"/>
      <c r="F21" s="106"/>
      <c r="G21" s="107"/>
      <c r="H21" s="107"/>
      <c r="I21" s="107"/>
      <c r="J21" s="107"/>
      <c r="K21" s="107"/>
      <c r="L21" s="107"/>
      <c r="M21" s="107"/>
      <c r="N21" s="107"/>
      <c r="O21" s="107"/>
      <c r="P21" s="12"/>
    </row>
    <row r="22" spans="4:16">
      <c r="D22" s="108"/>
      <c r="E22" s="105"/>
      <c r="F22" s="106"/>
      <c r="G22" s="107"/>
      <c r="H22" s="107"/>
      <c r="I22" s="107"/>
      <c r="J22" s="107"/>
      <c r="K22" s="107"/>
      <c r="L22" s="107"/>
      <c r="M22" s="107"/>
      <c r="N22" s="107"/>
      <c r="O22" s="107"/>
      <c r="P22" s="12"/>
    </row>
    <row r="23" spans="4:16">
      <c r="D23" s="108"/>
      <c r="E23" s="105"/>
      <c r="F23" s="106"/>
      <c r="G23" s="107"/>
      <c r="H23" s="107"/>
      <c r="I23" s="107"/>
      <c r="J23" s="107"/>
      <c r="K23" s="107"/>
      <c r="L23" s="107"/>
      <c r="M23" s="107"/>
      <c r="N23" s="107"/>
      <c r="O23" s="107"/>
      <c r="P23" s="12"/>
    </row>
    <row r="24" spans="4:16">
      <c r="D24" s="108"/>
      <c r="E24" s="105"/>
      <c r="F24" s="106"/>
      <c r="G24" s="107"/>
      <c r="H24" s="107"/>
      <c r="I24" s="107"/>
      <c r="J24" s="107"/>
      <c r="K24" s="107"/>
      <c r="L24" s="107"/>
      <c r="M24" s="107"/>
      <c r="N24" s="107"/>
      <c r="O24" s="107"/>
      <c r="P24" s="12"/>
    </row>
    <row r="25" spans="4:16">
      <c r="D25" s="108"/>
      <c r="E25" s="105"/>
      <c r="F25" s="106"/>
      <c r="G25" s="107"/>
      <c r="H25" s="107"/>
      <c r="I25" s="107"/>
      <c r="J25" s="107"/>
      <c r="K25" s="107"/>
      <c r="L25" s="107"/>
      <c r="M25" s="107"/>
      <c r="N25" s="107"/>
      <c r="O25" s="107"/>
      <c r="P25" s="12"/>
    </row>
    <row r="26" spans="4:16">
      <c r="D26" s="108"/>
      <c r="E26" s="105"/>
      <c r="F26" s="106"/>
      <c r="G26" s="107"/>
      <c r="H26" s="107"/>
      <c r="I26" s="107"/>
      <c r="J26" s="107"/>
      <c r="K26" s="107"/>
      <c r="L26" s="107"/>
      <c r="M26" s="107"/>
      <c r="N26" s="107"/>
      <c r="O26" s="107"/>
      <c r="P26" s="12"/>
    </row>
    <row r="27" spans="4:16">
      <c r="D27" s="108"/>
      <c r="E27" s="105"/>
      <c r="F27" s="106"/>
      <c r="G27" s="107"/>
      <c r="H27" s="107"/>
      <c r="I27" s="107"/>
      <c r="J27" s="107"/>
      <c r="K27" s="107"/>
      <c r="L27" s="107"/>
      <c r="M27" s="107"/>
      <c r="N27" s="107"/>
      <c r="O27" s="107"/>
      <c r="P27" s="12"/>
    </row>
    <row r="28" spans="4:16">
      <c r="D28" s="108"/>
      <c r="E28" s="105"/>
      <c r="F28" s="106"/>
      <c r="G28" s="107"/>
      <c r="H28" s="107"/>
      <c r="I28" s="107"/>
      <c r="J28" s="107"/>
      <c r="K28" s="107"/>
      <c r="L28" s="107"/>
      <c r="M28" s="107"/>
      <c r="N28" s="107"/>
      <c r="O28" s="107"/>
      <c r="P28" s="12"/>
    </row>
    <row r="29" spans="4:16"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F1:L8"/>
  <sheetViews>
    <sheetView workbookViewId="0">
      <selection activeCell="H8" sqref="H8:I8"/>
    </sheetView>
  </sheetViews>
  <sheetFormatPr defaultRowHeight="15"/>
  <cols>
    <col min="11" max="11" width="10" bestFit="1" customWidth="1"/>
  </cols>
  <sheetData>
    <row r="1" spans="6:12">
      <c r="F1" t="s">
        <v>265</v>
      </c>
      <c r="G1" t="s">
        <v>85</v>
      </c>
      <c r="H1" t="s">
        <v>85</v>
      </c>
      <c r="I1" t="s">
        <v>87</v>
      </c>
      <c r="J1" t="s">
        <v>267</v>
      </c>
      <c r="K1" t="s">
        <v>258</v>
      </c>
      <c r="L1" t="s">
        <v>268</v>
      </c>
    </row>
    <row r="2" spans="6:12">
      <c r="F2" t="s">
        <v>60</v>
      </c>
      <c r="G2" t="s">
        <v>62</v>
      </c>
      <c r="H2" t="s">
        <v>266</v>
      </c>
      <c r="I2" t="s">
        <v>110</v>
      </c>
      <c r="J2" t="s">
        <v>64</v>
      </c>
      <c r="K2" t="s">
        <v>66</v>
      </c>
      <c r="L2" t="s">
        <v>69</v>
      </c>
    </row>
    <row r="4" spans="6:12">
      <c r="F4" t="s">
        <v>100</v>
      </c>
      <c r="G4">
        <v>5.1000000000000004E-3</v>
      </c>
      <c r="H4">
        <v>5.1999999999999998E-2</v>
      </c>
      <c r="I4">
        <v>7.9000000000000001E-4</v>
      </c>
      <c r="J4">
        <v>3005.33</v>
      </c>
      <c r="K4">
        <f>(J4)/(G4^2*(PI()/4))/1000000</f>
        <v>147.11668592767882</v>
      </c>
      <c r="L4">
        <f>I4/H4</f>
        <v>1.5192307692307692E-2</v>
      </c>
    </row>
    <row r="5" spans="6:12" ht="15.75" thickBot="1"/>
    <row r="6" spans="6:12" ht="16.5" thickBot="1">
      <c r="H6" s="189">
        <v>147.11669000000001</v>
      </c>
      <c r="I6" s="190">
        <v>1.51</v>
      </c>
    </row>
    <row r="7" spans="6:12" ht="15.75" thickBot="1">
      <c r="H7" s="191">
        <v>150.87</v>
      </c>
      <c r="I7" s="192">
        <v>1.52</v>
      </c>
    </row>
    <row r="8" spans="6:12">
      <c r="H8">
        <f>AVERAGE(H6:H7)</f>
        <v>148.99334500000001</v>
      </c>
      <c r="I8">
        <f>AVERAGE(I6:I7)</f>
        <v>1.5150000000000001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S5"/>
  <sheetViews>
    <sheetView workbookViewId="0">
      <selection activeCell="D20" sqref="D20"/>
    </sheetView>
  </sheetViews>
  <sheetFormatPr defaultRowHeight="15"/>
  <cols>
    <col min="2" max="2" width="11.85546875" bestFit="1" customWidth="1"/>
    <col min="3" max="3" width="9" bestFit="1" customWidth="1"/>
    <col min="5" max="5" width="11.42578125" bestFit="1" customWidth="1"/>
  </cols>
  <sheetData>
    <row r="2" spans="2:19">
      <c r="B2" s="1">
        <v>16</v>
      </c>
      <c r="C2" s="1">
        <v>17</v>
      </c>
      <c r="D2" s="1">
        <v>18</v>
      </c>
      <c r="E2" s="1">
        <v>23</v>
      </c>
      <c r="F2" s="1">
        <v>24</v>
      </c>
      <c r="G2" s="1">
        <v>25</v>
      </c>
      <c r="H2" s="1">
        <v>30</v>
      </c>
      <c r="I2" s="1">
        <v>1</v>
      </c>
      <c r="J2" s="1">
        <v>2</v>
      </c>
      <c r="K2" s="1">
        <v>7</v>
      </c>
      <c r="L2" s="1">
        <v>8</v>
      </c>
      <c r="M2" s="1">
        <v>9</v>
      </c>
      <c r="N2" s="1">
        <v>14</v>
      </c>
      <c r="O2" s="1">
        <v>15</v>
      </c>
      <c r="P2" s="1">
        <v>16</v>
      </c>
      <c r="Q2" s="1">
        <v>21</v>
      </c>
      <c r="R2" s="1">
        <v>22</v>
      </c>
      <c r="S2" s="1">
        <v>23</v>
      </c>
    </row>
    <row r="3" spans="2:19">
      <c r="B3" s="1" t="s">
        <v>22</v>
      </c>
      <c r="C3" s="1" t="s">
        <v>23</v>
      </c>
      <c r="D3" s="1" t="s">
        <v>24</v>
      </c>
      <c r="E3" s="1" t="s">
        <v>22</v>
      </c>
      <c r="F3" s="1" t="s">
        <v>23</v>
      </c>
      <c r="G3" s="1" t="s">
        <v>24</v>
      </c>
      <c r="H3" s="1" t="s">
        <v>22</v>
      </c>
      <c r="I3" s="1" t="s">
        <v>23</v>
      </c>
      <c r="J3" s="1" t="s">
        <v>24</v>
      </c>
      <c r="K3" s="1" t="s">
        <v>22</v>
      </c>
      <c r="L3" s="1" t="s">
        <v>23</v>
      </c>
      <c r="M3" s="1" t="s">
        <v>24</v>
      </c>
      <c r="N3" s="1" t="s">
        <v>22</v>
      </c>
      <c r="O3" s="1" t="s">
        <v>23</v>
      </c>
      <c r="P3" s="1" t="s">
        <v>24</v>
      </c>
      <c r="Q3" s="1" t="s">
        <v>22</v>
      </c>
      <c r="R3" s="1" t="s">
        <v>23</v>
      </c>
      <c r="S3" s="1" t="s">
        <v>24</v>
      </c>
    </row>
    <row r="5" spans="2:19">
      <c r="C5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M29"/>
  <sheetViews>
    <sheetView tabSelected="1" workbookViewId="0">
      <selection activeCell="J11" sqref="J11"/>
    </sheetView>
  </sheetViews>
  <sheetFormatPr defaultRowHeight="15"/>
  <sheetData>
    <row r="2" spans="2:13" ht="15.75" thickBot="1">
      <c r="B2" t="s">
        <v>29</v>
      </c>
      <c r="L2" t="s">
        <v>39</v>
      </c>
      <c r="M2">
        <f>500</f>
        <v>500</v>
      </c>
    </row>
    <row r="3" spans="2:13" ht="15.75" thickBot="1">
      <c r="B3" s="45"/>
      <c r="C3" s="197" t="s">
        <v>32</v>
      </c>
      <c r="D3" s="197"/>
      <c r="E3" s="197"/>
      <c r="F3" s="197" t="s">
        <v>33</v>
      </c>
      <c r="G3" s="197"/>
      <c r="H3" s="197"/>
      <c r="I3" s="25" t="s">
        <v>37</v>
      </c>
      <c r="J3" s="25" t="s">
        <v>38</v>
      </c>
      <c r="L3" t="s">
        <v>40</v>
      </c>
      <c r="M3">
        <v>10</v>
      </c>
    </row>
    <row r="4" spans="2:13">
      <c r="B4" s="45"/>
      <c r="C4" s="130" t="s">
        <v>34</v>
      </c>
      <c r="D4" s="130" t="s">
        <v>35</v>
      </c>
      <c r="E4" s="130" t="s">
        <v>36</v>
      </c>
      <c r="F4" s="130" t="s">
        <v>34</v>
      </c>
      <c r="G4" s="130" t="s">
        <v>35</v>
      </c>
      <c r="H4" s="130" t="s">
        <v>36</v>
      </c>
      <c r="I4" s="24"/>
      <c r="J4" s="24"/>
      <c r="L4" t="s">
        <v>41</v>
      </c>
      <c r="M4">
        <v>0.10199999999999999</v>
      </c>
    </row>
    <row r="5" spans="2:13">
      <c r="B5" s="45" t="s">
        <v>30</v>
      </c>
      <c r="C5" s="130">
        <v>3.4</v>
      </c>
      <c r="D5" s="130">
        <v>3.3</v>
      </c>
      <c r="E5" s="130">
        <f>AVERAGE(C5:D5)</f>
        <v>3.3499999999999996</v>
      </c>
      <c r="F5" s="130">
        <v>3.3</v>
      </c>
      <c r="G5" s="130">
        <v>3.2</v>
      </c>
      <c r="H5" s="130">
        <f>AVERAGE(F5:G5)</f>
        <v>3.25</v>
      </c>
      <c r="I5" s="24">
        <f>(AVERAGE(H5,E5)+AVERAGE(E7,H7))/2</f>
        <v>3.3</v>
      </c>
      <c r="J5" s="24">
        <f>500/((PI()*10/2)*((10)-(SQRT(10^2-I5^2))))</f>
        <v>56.821703325236015</v>
      </c>
    </row>
    <row r="6" spans="2:13">
      <c r="B6" s="45"/>
      <c r="C6" s="130"/>
      <c r="D6" s="130"/>
      <c r="E6" s="130"/>
      <c r="F6" s="130"/>
      <c r="G6" s="130"/>
      <c r="H6" s="130"/>
      <c r="I6" s="24"/>
      <c r="J6" s="24"/>
    </row>
    <row r="7" spans="2:13">
      <c r="B7" s="45" t="s">
        <v>31</v>
      </c>
      <c r="C7" s="130">
        <v>3.4</v>
      </c>
      <c r="D7" s="130">
        <v>3.2</v>
      </c>
      <c r="E7" s="130">
        <f>AVERAGE(C7:D7)</f>
        <v>3.3</v>
      </c>
      <c r="F7" s="130">
        <v>3.4</v>
      </c>
      <c r="G7" s="130">
        <v>3.2</v>
      </c>
      <c r="H7" s="130">
        <f t="shared" ref="H7:H23" si="0">AVERAGE(F7:G7)</f>
        <v>3.3</v>
      </c>
      <c r="I7" s="24"/>
      <c r="J7" s="24"/>
    </row>
    <row r="8" spans="2:13">
      <c r="B8" s="45"/>
      <c r="C8" s="130"/>
      <c r="D8" s="130">
        <v>1</v>
      </c>
      <c r="E8" s="130"/>
      <c r="F8" s="130"/>
      <c r="G8" s="130"/>
      <c r="H8" s="130"/>
      <c r="I8" s="24"/>
      <c r="J8" s="24"/>
      <c r="L8" t="s">
        <v>42</v>
      </c>
      <c r="M8">
        <f>1000</f>
        <v>1000</v>
      </c>
    </row>
    <row r="9" spans="2:13">
      <c r="B9" s="45">
        <v>2</v>
      </c>
      <c r="C9" s="130">
        <v>3.5</v>
      </c>
      <c r="D9" s="130">
        <v>3.6</v>
      </c>
      <c r="E9" s="130">
        <f>AVERAGE(C9:D9)</f>
        <v>3.55</v>
      </c>
      <c r="F9" s="130">
        <v>3.5</v>
      </c>
      <c r="G9" s="130">
        <v>3.7</v>
      </c>
      <c r="H9" s="130">
        <f t="shared" si="0"/>
        <v>3.6</v>
      </c>
      <c r="I9" s="24">
        <f>AVERAGE(E9,H9)</f>
        <v>3.5750000000000002</v>
      </c>
      <c r="J9" s="24">
        <f>500/((PI()*10/2)*((10)-(SQRT(10^2-I9^2))))</f>
        <v>48.165380876167376</v>
      </c>
      <c r="L9" t="s">
        <v>43</v>
      </c>
      <c r="M9">
        <f>PI()*10^2</f>
        <v>314.15926535897933</v>
      </c>
    </row>
    <row r="10" spans="2:13">
      <c r="B10" s="45"/>
      <c r="C10" s="130"/>
      <c r="D10" s="130">
        <v>2</v>
      </c>
      <c r="E10" s="130"/>
      <c r="F10" s="130"/>
      <c r="G10" s="130"/>
      <c r="H10" s="130"/>
      <c r="I10" s="24"/>
      <c r="J10" s="24"/>
    </row>
    <row r="11" spans="2:13">
      <c r="B11" s="45">
        <v>3</v>
      </c>
      <c r="C11" s="130">
        <v>3</v>
      </c>
      <c r="D11" s="130">
        <v>3.2</v>
      </c>
      <c r="E11" s="130">
        <f>AVERAGE(C11:D11)</f>
        <v>3.1</v>
      </c>
      <c r="F11" s="130">
        <v>3.3</v>
      </c>
      <c r="G11" s="130">
        <v>3.3</v>
      </c>
      <c r="H11" s="130">
        <f t="shared" si="0"/>
        <v>3.3</v>
      </c>
      <c r="I11" s="24">
        <f>AVERAGE(E11,H11)</f>
        <v>3.2</v>
      </c>
      <c r="J11" s="24">
        <f t="shared" ref="J11:J23" si="1">500/((PI()*10/2)*((10)-(SQRT(10^2-I11^2))))</f>
        <v>60.535376595011428</v>
      </c>
    </row>
    <row r="12" spans="2:13">
      <c r="B12" s="45"/>
      <c r="C12" s="130"/>
      <c r="D12" s="130">
        <v>3</v>
      </c>
      <c r="E12" s="130"/>
      <c r="F12" s="130"/>
      <c r="G12" s="130"/>
      <c r="H12" s="130"/>
      <c r="I12" s="24"/>
      <c r="J12" s="24"/>
    </row>
    <row r="13" spans="2:13">
      <c r="B13" s="45">
        <v>4</v>
      </c>
      <c r="C13" s="130">
        <v>3.6</v>
      </c>
      <c r="D13" s="130">
        <v>3.5</v>
      </c>
      <c r="E13" s="130">
        <f>AVERAGE(C13:D13)</f>
        <v>3.55</v>
      </c>
      <c r="F13" s="130">
        <v>3.6</v>
      </c>
      <c r="G13" s="130">
        <v>3.5</v>
      </c>
      <c r="H13" s="130">
        <f t="shared" si="0"/>
        <v>3.55</v>
      </c>
      <c r="I13" s="24">
        <f>AVERAGE(E13,H13)</f>
        <v>3.55</v>
      </c>
      <c r="J13" s="24">
        <f t="shared" si="1"/>
        <v>48.87022986909416</v>
      </c>
    </row>
    <row r="14" spans="2:13">
      <c r="B14" s="45"/>
      <c r="C14" s="130"/>
      <c r="D14" s="130">
        <v>4</v>
      </c>
      <c r="E14" s="130"/>
      <c r="F14" s="130"/>
      <c r="G14" s="130"/>
      <c r="H14" s="130"/>
      <c r="I14" s="24"/>
      <c r="J14" s="24"/>
    </row>
    <row r="15" spans="2:13">
      <c r="B15" s="45">
        <v>5</v>
      </c>
      <c r="C15" s="130">
        <v>3.1</v>
      </c>
      <c r="D15" s="130">
        <v>3.1</v>
      </c>
      <c r="E15" s="130">
        <f>AVERAGE(C15:D15)</f>
        <v>3.1</v>
      </c>
      <c r="F15" s="130">
        <v>3.1</v>
      </c>
      <c r="G15" s="130">
        <v>3</v>
      </c>
      <c r="H15" s="130">
        <f t="shared" si="0"/>
        <v>3.05</v>
      </c>
      <c r="I15" s="24">
        <f>AVERAGE(E15,H15)</f>
        <v>3.0750000000000002</v>
      </c>
      <c r="J15" s="24">
        <f t="shared" si="1"/>
        <v>65.696032517072055</v>
      </c>
    </row>
    <row r="16" spans="2:13">
      <c r="B16" s="45"/>
      <c r="C16" s="130"/>
      <c r="D16" s="130">
        <v>5</v>
      </c>
      <c r="E16" s="130"/>
      <c r="F16" s="130"/>
      <c r="G16" s="130"/>
      <c r="H16" s="130"/>
      <c r="I16" s="24"/>
      <c r="J16" s="24"/>
    </row>
    <row r="17" spans="2:10">
      <c r="B17" s="45">
        <v>6</v>
      </c>
      <c r="C17" s="130">
        <v>3.2</v>
      </c>
      <c r="D17" s="130">
        <v>3.3</v>
      </c>
      <c r="E17" s="130">
        <f>AVERAGE(C17:D17)</f>
        <v>3.25</v>
      </c>
      <c r="F17" s="130">
        <v>3.1</v>
      </c>
      <c r="G17" s="130">
        <v>3.2</v>
      </c>
      <c r="H17" s="130">
        <f t="shared" si="0"/>
        <v>3.1500000000000004</v>
      </c>
      <c r="I17" s="24">
        <f>AVERAGE(E17,H17)</f>
        <v>3.2</v>
      </c>
      <c r="J17" s="24">
        <f t="shared" si="1"/>
        <v>60.535376595011428</v>
      </c>
    </row>
    <row r="18" spans="2:10">
      <c r="B18" s="45"/>
      <c r="C18" s="130"/>
      <c r="D18" s="130">
        <v>6</v>
      </c>
      <c r="E18" s="130"/>
      <c r="F18" s="130"/>
      <c r="G18" s="130"/>
      <c r="H18" s="130"/>
      <c r="I18" s="24"/>
      <c r="J18" s="24"/>
    </row>
    <row r="19" spans="2:10">
      <c r="B19" s="45">
        <v>7</v>
      </c>
      <c r="C19" s="130">
        <v>3.4</v>
      </c>
      <c r="D19" s="130">
        <v>3.3</v>
      </c>
      <c r="E19" s="130">
        <f>AVERAGE(C19:D19)</f>
        <v>3.3499999999999996</v>
      </c>
      <c r="F19" s="130">
        <v>3.5</v>
      </c>
      <c r="G19" s="130">
        <v>3.5</v>
      </c>
      <c r="H19" s="130">
        <f t="shared" si="0"/>
        <v>3.5</v>
      </c>
      <c r="I19" s="24">
        <f>AVERAGE(E19,H19)</f>
        <v>3.4249999999999998</v>
      </c>
      <c r="J19" s="24">
        <f t="shared" si="1"/>
        <v>52.628713238170867</v>
      </c>
    </row>
    <row r="20" spans="2:10">
      <c r="B20" s="45"/>
      <c r="C20" s="130"/>
      <c r="D20" s="130">
        <v>7</v>
      </c>
      <c r="E20" s="130"/>
      <c r="F20" s="130"/>
      <c r="G20" s="130"/>
      <c r="H20" s="130"/>
      <c r="I20" s="24"/>
      <c r="J20" s="24"/>
    </row>
    <row r="21" spans="2:10">
      <c r="B21" s="45">
        <v>8</v>
      </c>
      <c r="C21" s="130">
        <v>3.3</v>
      </c>
      <c r="D21" s="130">
        <v>3.4</v>
      </c>
      <c r="E21" s="130">
        <f>AVERAGE(C21:D21)</f>
        <v>3.3499999999999996</v>
      </c>
      <c r="F21" s="130">
        <v>3.1</v>
      </c>
      <c r="G21" s="130">
        <v>3.4</v>
      </c>
      <c r="H21" s="130">
        <f t="shared" si="0"/>
        <v>3.25</v>
      </c>
      <c r="I21" s="24">
        <f>AVERAGE(E21,H21)</f>
        <v>3.3</v>
      </c>
      <c r="J21" s="24">
        <f t="shared" si="1"/>
        <v>56.821703325236015</v>
      </c>
    </row>
    <row r="22" spans="2:10">
      <c r="B22" s="45"/>
      <c r="C22" s="130"/>
      <c r="D22" s="130">
        <v>8</v>
      </c>
      <c r="E22" s="130"/>
      <c r="F22" s="130"/>
      <c r="G22" s="130"/>
      <c r="H22" s="130"/>
      <c r="I22" s="24"/>
      <c r="J22" s="24"/>
    </row>
    <row r="23" spans="2:10">
      <c r="B23" s="45">
        <v>9</v>
      </c>
      <c r="C23" s="130">
        <v>3.5</v>
      </c>
      <c r="D23" s="130">
        <v>3.7</v>
      </c>
      <c r="E23" s="130">
        <f>AVERAGE(C23:D23)</f>
        <v>3.6</v>
      </c>
      <c r="F23" s="130">
        <v>3.5</v>
      </c>
      <c r="G23" s="130">
        <v>3.7</v>
      </c>
      <c r="H23" s="130">
        <f t="shared" si="0"/>
        <v>3.6</v>
      </c>
      <c r="I23" s="24">
        <f>AVERAGE(E23,H23)</f>
        <v>3.6</v>
      </c>
      <c r="J23" s="24">
        <f t="shared" si="1"/>
        <v>47.475141020247555</v>
      </c>
    </row>
    <row r="24" spans="2:10">
      <c r="D24" s="23">
        <v>9</v>
      </c>
    </row>
    <row r="26" spans="2:10">
      <c r="C26" t="s">
        <v>49</v>
      </c>
      <c r="D26" t="s">
        <v>50</v>
      </c>
    </row>
    <row r="27" spans="2:10">
      <c r="D27" t="s">
        <v>51</v>
      </c>
    </row>
    <row r="28" spans="2:10">
      <c r="D28" t="s">
        <v>52</v>
      </c>
    </row>
    <row r="29" spans="2:10">
      <c r="D29" s="27" t="s">
        <v>53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13"/>
  <sheetViews>
    <sheetView workbookViewId="0">
      <selection activeCell="C5" sqref="C5:C13"/>
    </sheetView>
  </sheetViews>
  <sheetFormatPr defaultRowHeight="15"/>
  <cols>
    <col min="3" max="3" width="13.7109375" bestFit="1" customWidth="1"/>
  </cols>
  <sheetData>
    <row r="2" spans="2:3">
      <c r="B2" t="s">
        <v>54</v>
      </c>
      <c r="C2" t="s">
        <v>56</v>
      </c>
    </row>
    <row r="3" spans="2:3">
      <c r="B3" t="s">
        <v>55</v>
      </c>
      <c r="C3" t="s">
        <v>57</v>
      </c>
    </row>
    <row r="4" spans="2:3">
      <c r="C4" t="s">
        <v>58</v>
      </c>
    </row>
    <row r="5" spans="2:3">
      <c r="B5">
        <v>1</v>
      </c>
      <c r="C5">
        <v>1</v>
      </c>
    </row>
    <row r="6" spans="2:3">
      <c r="B6">
        <v>2</v>
      </c>
      <c r="C6">
        <v>0.8</v>
      </c>
    </row>
    <row r="7" spans="2:3">
      <c r="B7">
        <v>3</v>
      </c>
      <c r="C7">
        <v>0.5</v>
      </c>
    </row>
    <row r="8" spans="2:3">
      <c r="B8">
        <v>4</v>
      </c>
      <c r="C8">
        <v>0.1</v>
      </c>
    </row>
    <row r="9" spans="2:3">
      <c r="B9">
        <v>5</v>
      </c>
      <c r="C9">
        <v>0.5</v>
      </c>
    </row>
    <row r="10" spans="2:3">
      <c r="B10">
        <v>6</v>
      </c>
      <c r="C10">
        <v>0.8</v>
      </c>
    </row>
    <row r="11" spans="2:3">
      <c r="B11">
        <v>7</v>
      </c>
      <c r="C11">
        <v>1</v>
      </c>
    </row>
    <row r="12" spans="2:3">
      <c r="B12">
        <v>8</v>
      </c>
      <c r="C12">
        <v>1</v>
      </c>
    </row>
    <row r="13" spans="2:3">
      <c r="B13">
        <v>9</v>
      </c>
      <c r="C13">
        <v>0.8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L24"/>
  <sheetViews>
    <sheetView workbookViewId="0">
      <selection activeCell="B16" sqref="B16:I24"/>
    </sheetView>
  </sheetViews>
  <sheetFormatPr defaultRowHeight="15"/>
  <cols>
    <col min="8" max="8" width="12.5703125" bestFit="1" customWidth="1"/>
  </cols>
  <sheetData>
    <row r="2" spans="2:12">
      <c r="B2" t="s">
        <v>142</v>
      </c>
    </row>
    <row r="4" spans="2:12">
      <c r="B4" t="s">
        <v>143</v>
      </c>
    </row>
    <row r="5" spans="2:12">
      <c r="B5" t="s">
        <v>54</v>
      </c>
      <c r="C5" t="s">
        <v>262</v>
      </c>
      <c r="D5" t="s">
        <v>263</v>
      </c>
      <c r="E5" t="s">
        <v>264</v>
      </c>
      <c r="K5" t="s">
        <v>131</v>
      </c>
      <c r="L5" t="s">
        <v>26</v>
      </c>
    </row>
    <row r="6" spans="2:12">
      <c r="B6">
        <v>1</v>
      </c>
      <c r="C6" s="193">
        <v>9.2561</v>
      </c>
      <c r="D6" s="193">
        <v>11.5939</v>
      </c>
      <c r="E6" s="193">
        <v>7.6288999999999998</v>
      </c>
      <c r="F6" s="193"/>
      <c r="G6" s="193"/>
      <c r="H6" s="193"/>
      <c r="I6" s="193"/>
      <c r="J6" s="193"/>
      <c r="K6">
        <f>AVERAGE(C6:J6)</f>
        <v>9.4929666666666677</v>
      </c>
    </row>
    <row r="7" spans="2:12">
      <c r="B7">
        <v>2</v>
      </c>
      <c r="C7" s="193">
        <v>3.7006000000000001</v>
      </c>
      <c r="D7" s="193">
        <v>10.474299999999999</v>
      </c>
      <c r="E7" s="193">
        <v>7.4630999999999998</v>
      </c>
      <c r="F7" s="193">
        <v>9.3854000000000006</v>
      </c>
      <c r="G7" s="193">
        <v>5.6562000000000001</v>
      </c>
      <c r="H7" s="193">
        <v>7.2831000000000001</v>
      </c>
      <c r="I7" s="193"/>
      <c r="J7" s="193"/>
      <c r="K7">
        <f>AVERAGE(C7:J7)</f>
        <v>7.3271166666666661</v>
      </c>
    </row>
    <row r="8" spans="2:12">
      <c r="B8">
        <v>3</v>
      </c>
      <c r="C8" s="193">
        <v>7.1391999999999998</v>
      </c>
      <c r="D8" s="193">
        <v>6.2031999999999998</v>
      </c>
      <c r="E8" s="193">
        <v>5.0518999999999998</v>
      </c>
      <c r="F8" s="193">
        <v>4.2915000000000001</v>
      </c>
      <c r="G8" s="193">
        <v>4.9427000000000003</v>
      </c>
      <c r="H8" s="193">
        <v>7.4166999999999996</v>
      </c>
      <c r="I8" s="193"/>
      <c r="J8" s="193"/>
      <c r="K8">
        <f t="shared" ref="K8:K14" si="0">AVERAGE(C8:J8)</f>
        <v>5.8408666666666669</v>
      </c>
    </row>
    <row r="9" spans="2:12">
      <c r="B9">
        <v>4</v>
      </c>
      <c r="C9" s="193">
        <v>38.119</v>
      </c>
      <c r="D9" s="193">
        <v>32.769199999999998</v>
      </c>
      <c r="E9" s="193">
        <v>20.04</v>
      </c>
      <c r="F9" s="193">
        <v>7.7736999999999998</v>
      </c>
      <c r="G9" s="193">
        <v>17.962800000000001</v>
      </c>
      <c r="H9" s="193">
        <v>25.309699999999999</v>
      </c>
      <c r="I9" s="193"/>
      <c r="J9" s="193"/>
      <c r="K9">
        <f t="shared" si="0"/>
        <v>23.662400000000002</v>
      </c>
    </row>
    <row r="10" spans="2:12">
      <c r="B10">
        <v>5</v>
      </c>
      <c r="C10" s="193">
        <v>15.481299999999999</v>
      </c>
      <c r="D10" s="193">
        <v>8.2464999999999993</v>
      </c>
      <c r="E10" s="193">
        <v>10.7501</v>
      </c>
      <c r="F10" s="193">
        <v>14.072800000000001</v>
      </c>
      <c r="G10" s="193">
        <v>6.9355000000000002</v>
      </c>
      <c r="H10" s="193">
        <v>13.3186</v>
      </c>
      <c r="I10" s="193"/>
      <c r="J10" s="193"/>
      <c r="K10">
        <f t="shared" si="0"/>
        <v>11.467466666666667</v>
      </c>
    </row>
    <row r="11" spans="2:12">
      <c r="B11">
        <v>6</v>
      </c>
      <c r="C11" s="193">
        <v>13.057499999999999</v>
      </c>
      <c r="D11" s="193">
        <v>22.625900000000001</v>
      </c>
      <c r="E11" s="193">
        <v>11.631500000000001</v>
      </c>
      <c r="F11" s="193">
        <v>10.0185</v>
      </c>
      <c r="G11" s="193"/>
      <c r="H11" s="193"/>
      <c r="I11" s="193"/>
      <c r="J11" s="193"/>
      <c r="K11">
        <f t="shared" si="0"/>
        <v>14.333349999999999</v>
      </c>
    </row>
    <row r="12" spans="2:12">
      <c r="B12">
        <v>7</v>
      </c>
      <c r="C12" s="193">
        <v>17.7029</v>
      </c>
      <c r="D12" s="193">
        <v>7.9240000000000004</v>
      </c>
      <c r="E12" s="193">
        <v>11.2059</v>
      </c>
      <c r="F12" s="193">
        <v>13.670400000000001</v>
      </c>
      <c r="G12" s="193">
        <v>11.4595</v>
      </c>
      <c r="H12" s="193">
        <v>9.6903000000000006</v>
      </c>
      <c r="I12" s="193">
        <v>16.4636</v>
      </c>
      <c r="J12" s="193">
        <v>12.9329</v>
      </c>
      <c r="K12">
        <f t="shared" si="0"/>
        <v>12.631187499999999</v>
      </c>
    </row>
    <row r="13" spans="2:12">
      <c r="B13">
        <v>8</v>
      </c>
      <c r="C13" s="193">
        <v>11.6313</v>
      </c>
      <c r="D13" s="193">
        <v>13.756500000000001</v>
      </c>
      <c r="E13" s="193">
        <v>16.5517</v>
      </c>
      <c r="F13" s="193"/>
      <c r="G13" s="193"/>
      <c r="H13" s="193"/>
      <c r="I13" s="193"/>
      <c r="J13" s="193"/>
      <c r="K13">
        <f t="shared" si="0"/>
        <v>13.979833333333332</v>
      </c>
    </row>
    <row r="14" spans="2:12">
      <c r="B14">
        <v>9</v>
      </c>
      <c r="C14" s="193">
        <v>20.034500000000001</v>
      </c>
      <c r="D14" s="193">
        <v>9.2689000000000004</v>
      </c>
      <c r="E14" s="193">
        <v>11.2082</v>
      </c>
      <c r="F14" s="193">
        <v>12.754</v>
      </c>
      <c r="G14" s="193">
        <v>9.1076999999999995</v>
      </c>
      <c r="H14" s="193">
        <v>8.3472000000000008</v>
      </c>
      <c r="I14" s="193"/>
      <c r="J14" s="193"/>
      <c r="K14">
        <f t="shared" si="0"/>
        <v>11.78675</v>
      </c>
    </row>
    <row r="15" spans="2:12">
      <c r="C15" s="193"/>
      <c r="D15" s="193"/>
      <c r="E15" s="193"/>
      <c r="F15" s="193"/>
      <c r="G15" s="193"/>
      <c r="H15" s="193"/>
      <c r="I15" s="193"/>
      <c r="J15" s="193"/>
    </row>
    <row r="16" spans="2:12">
      <c r="B16">
        <v>1</v>
      </c>
      <c r="C16" s="193">
        <v>9.2561</v>
      </c>
      <c r="D16" s="193">
        <v>11.5939</v>
      </c>
      <c r="E16" s="193">
        <v>7.6288999999999998</v>
      </c>
      <c r="F16" s="193">
        <v>8.4368999999999996</v>
      </c>
      <c r="G16" s="193">
        <v>10.4254</v>
      </c>
      <c r="H16" s="193">
        <v>9.65</v>
      </c>
      <c r="I16" s="193">
        <f>AVERAGE(C16:H16)</f>
        <v>9.4985333333333326</v>
      </c>
      <c r="J16" s="193"/>
      <c r="K16">
        <f>AVERAGE(C16:J16)</f>
        <v>9.4985333333333326</v>
      </c>
    </row>
    <row r="17" spans="2:11">
      <c r="B17">
        <v>2</v>
      </c>
      <c r="C17" s="193">
        <v>3.7006000000000001</v>
      </c>
      <c r="D17" s="193">
        <v>10.474299999999999</v>
      </c>
      <c r="E17" s="193">
        <v>7.4630999999999998</v>
      </c>
      <c r="F17" s="193">
        <v>9.3854000000000006</v>
      </c>
      <c r="G17" s="193">
        <v>5.6562000000000001</v>
      </c>
      <c r="H17" s="193">
        <v>7.2831000000000001</v>
      </c>
      <c r="I17" s="193">
        <f t="shared" ref="I17:I24" si="1">AVERAGE(C17:H17)</f>
        <v>7.3271166666666661</v>
      </c>
      <c r="J17" s="193"/>
      <c r="K17">
        <f>AVERAGE(C17:J17)</f>
        <v>7.3271166666666669</v>
      </c>
    </row>
    <row r="18" spans="2:11">
      <c r="B18">
        <v>3</v>
      </c>
      <c r="C18" s="193">
        <v>7.1391999999999998</v>
      </c>
      <c r="D18" s="193">
        <v>6.2031999999999998</v>
      </c>
      <c r="E18" s="193">
        <v>5.0518999999999998</v>
      </c>
      <c r="F18" s="193">
        <v>4.2915000000000001</v>
      </c>
      <c r="G18" s="193">
        <v>4.9427000000000003</v>
      </c>
      <c r="H18" s="193">
        <v>7.4166999999999996</v>
      </c>
      <c r="I18" s="193">
        <f t="shared" si="1"/>
        <v>5.8408666666666669</v>
      </c>
      <c r="J18" s="193"/>
      <c r="K18">
        <f t="shared" ref="K18:K24" si="2">AVERAGE(C18:J18)</f>
        <v>5.840866666666666</v>
      </c>
    </row>
    <row r="19" spans="2:11">
      <c r="B19">
        <v>4</v>
      </c>
      <c r="C19" s="193">
        <v>38.119</v>
      </c>
      <c r="D19" s="193">
        <v>32.769199999999998</v>
      </c>
      <c r="E19" s="193">
        <v>20.04</v>
      </c>
      <c r="F19" s="193">
        <v>7.7736999999999998</v>
      </c>
      <c r="G19" s="193">
        <v>17.962800000000001</v>
      </c>
      <c r="H19" s="193">
        <v>25.309699999999999</v>
      </c>
      <c r="I19" s="193">
        <f t="shared" si="1"/>
        <v>23.662400000000002</v>
      </c>
      <c r="J19" s="193"/>
      <c r="K19">
        <f t="shared" si="2"/>
        <v>23.662399999999998</v>
      </c>
    </row>
    <row r="20" spans="2:11">
      <c r="B20">
        <v>5</v>
      </c>
      <c r="C20" s="193">
        <v>15.481299999999999</v>
      </c>
      <c r="D20" s="193">
        <v>8.2464999999999993</v>
      </c>
      <c r="E20" s="193">
        <v>10.7501</v>
      </c>
      <c r="F20" s="193">
        <v>14.072800000000001</v>
      </c>
      <c r="G20" s="193">
        <v>6.9355000000000002</v>
      </c>
      <c r="H20" s="193">
        <v>13.3186</v>
      </c>
      <c r="I20" s="193">
        <f t="shared" si="1"/>
        <v>11.467466666666667</v>
      </c>
      <c r="J20" s="193"/>
      <c r="K20">
        <f t="shared" si="2"/>
        <v>11.467466666666667</v>
      </c>
    </row>
    <row r="21" spans="2:11">
      <c r="B21">
        <v>6</v>
      </c>
      <c r="C21" s="193">
        <v>13.057499999999999</v>
      </c>
      <c r="D21" s="193">
        <v>22.625900000000001</v>
      </c>
      <c r="E21" s="193">
        <v>11.631500000000001</v>
      </c>
      <c r="F21" s="193">
        <v>10.0185</v>
      </c>
      <c r="G21" s="193">
        <v>12.875400000000001</v>
      </c>
      <c r="H21" s="193">
        <v>15.789</v>
      </c>
      <c r="I21" s="193">
        <f t="shared" si="1"/>
        <v>14.332966666666666</v>
      </c>
      <c r="J21" s="193"/>
      <c r="K21">
        <f t="shared" si="2"/>
        <v>14.332966666666666</v>
      </c>
    </row>
    <row r="22" spans="2:11">
      <c r="B22">
        <v>7</v>
      </c>
      <c r="C22" s="193">
        <v>17.7029</v>
      </c>
      <c r="D22" s="193">
        <v>7.9240000000000004</v>
      </c>
      <c r="E22" s="193">
        <v>11.2059</v>
      </c>
      <c r="F22" s="193">
        <v>13.670400000000001</v>
      </c>
      <c r="G22" s="193">
        <v>11.4595</v>
      </c>
      <c r="H22" s="193">
        <v>13.8245</v>
      </c>
      <c r="I22" s="193">
        <f t="shared" si="1"/>
        <v>12.6312</v>
      </c>
      <c r="J22" s="193"/>
      <c r="K22">
        <f t="shared" si="2"/>
        <v>12.631199999999998</v>
      </c>
    </row>
    <row r="23" spans="2:11">
      <c r="B23">
        <v>8</v>
      </c>
      <c r="C23" s="193">
        <v>11.6313</v>
      </c>
      <c r="D23" s="193">
        <v>13.756500000000001</v>
      </c>
      <c r="E23" s="193">
        <v>16.5517</v>
      </c>
      <c r="F23" s="193">
        <v>14.433999999999999</v>
      </c>
      <c r="G23" s="193">
        <v>13.457000000000001</v>
      </c>
      <c r="H23" s="193">
        <v>14.048500000000001</v>
      </c>
      <c r="I23" s="193">
        <f t="shared" si="1"/>
        <v>13.979833333333334</v>
      </c>
      <c r="J23" s="193"/>
      <c r="K23">
        <f t="shared" si="2"/>
        <v>13.979833333333334</v>
      </c>
    </row>
    <row r="24" spans="2:11">
      <c r="B24">
        <v>9</v>
      </c>
      <c r="C24" s="193">
        <v>20.034500000000001</v>
      </c>
      <c r="D24" s="193">
        <v>9.2689000000000004</v>
      </c>
      <c r="E24" s="193">
        <v>11.2082</v>
      </c>
      <c r="F24" s="193">
        <v>12.754</v>
      </c>
      <c r="G24" s="193">
        <v>9.1076999999999995</v>
      </c>
      <c r="H24" s="193">
        <v>8.3472000000000008</v>
      </c>
      <c r="I24" s="193">
        <f t="shared" si="1"/>
        <v>11.78675</v>
      </c>
      <c r="J24" s="193"/>
      <c r="K24">
        <f t="shared" si="2"/>
        <v>11.78675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3:O49"/>
  <sheetViews>
    <sheetView zoomScale="115" zoomScaleNormal="115" workbookViewId="0">
      <pane ySplit="4" topLeftCell="A5" activePane="bottomLeft" state="frozen"/>
      <selection pane="bottomLeft" activeCell="B46" sqref="B3:J46"/>
    </sheetView>
  </sheetViews>
  <sheetFormatPr defaultRowHeight="15"/>
  <cols>
    <col min="7" max="7" width="14" bestFit="1" customWidth="1"/>
    <col min="8" max="8" width="14" customWidth="1"/>
    <col min="11" max="11" width="2.85546875" customWidth="1"/>
    <col min="13" max="14" width="7" customWidth="1"/>
    <col min="15" max="15" width="14" bestFit="1" customWidth="1"/>
  </cols>
  <sheetData>
    <row r="3" spans="2:15">
      <c r="B3" t="s">
        <v>59</v>
      </c>
      <c r="C3" t="s">
        <v>61</v>
      </c>
      <c r="D3" t="s">
        <v>85</v>
      </c>
      <c r="E3" t="s">
        <v>87</v>
      </c>
      <c r="F3" t="s">
        <v>63</v>
      </c>
      <c r="G3" t="s">
        <v>65</v>
      </c>
      <c r="H3" t="s">
        <v>109</v>
      </c>
      <c r="I3" t="s">
        <v>67</v>
      </c>
      <c r="J3" t="s">
        <v>68</v>
      </c>
      <c r="L3" t="s">
        <v>87</v>
      </c>
      <c r="M3" t="s">
        <v>101</v>
      </c>
      <c r="N3" t="s">
        <v>86</v>
      </c>
      <c r="O3" t="s">
        <v>102</v>
      </c>
    </row>
    <row r="4" spans="2:15">
      <c r="B4" t="s">
        <v>60</v>
      </c>
      <c r="C4" t="s">
        <v>62</v>
      </c>
      <c r="D4" t="s">
        <v>86</v>
      </c>
      <c r="E4" t="s">
        <v>110</v>
      </c>
      <c r="F4" t="s">
        <v>64</v>
      </c>
      <c r="G4" t="s">
        <v>66</v>
      </c>
      <c r="I4" t="s">
        <v>66</v>
      </c>
      <c r="J4" t="s">
        <v>69</v>
      </c>
      <c r="L4" t="s">
        <v>106</v>
      </c>
      <c r="N4" t="s">
        <v>106</v>
      </c>
      <c r="O4" t="s">
        <v>103</v>
      </c>
    </row>
    <row r="6" spans="2:15">
      <c r="B6" t="s">
        <v>30</v>
      </c>
      <c r="C6">
        <f>M6/1000</f>
        <v>4.7999999999999996E-3</v>
      </c>
      <c r="D6">
        <f>N6/1000</f>
        <v>0.05</v>
      </c>
      <c r="E6">
        <f>L6/1000</f>
        <v>1.325E-3</v>
      </c>
      <c r="F6">
        <v>3087.6669999999999</v>
      </c>
      <c r="G6" s="26">
        <f>O6/1000000</f>
        <v>170.63106446934836</v>
      </c>
      <c r="H6" s="26">
        <v>1640</v>
      </c>
      <c r="I6">
        <f>0.000001*H6/((PI()/4)*(C6^2))</f>
        <v>90.629898149551522</v>
      </c>
      <c r="J6" s="26">
        <f t="shared" ref="J6:J45" si="0">100*E6/D6</f>
        <v>2.65</v>
      </c>
      <c r="L6">
        <v>1.325</v>
      </c>
      <c r="M6">
        <v>4.8</v>
      </c>
      <c r="N6" s="28">
        <v>50</v>
      </c>
      <c r="O6" s="26">
        <f>F6/((PI()/4)*(C6^2))</f>
        <v>170631064.46934837</v>
      </c>
    </row>
    <row r="7" spans="2:15">
      <c r="B7" t="s">
        <v>31</v>
      </c>
      <c r="C7">
        <f t="shared" ref="C7:C45" si="1">M7/1000</f>
        <v>4.96E-3</v>
      </c>
      <c r="D7">
        <f>N7/1000</f>
        <v>4.7E-2</v>
      </c>
      <c r="E7">
        <f t="shared" ref="E7:E45" si="2">L7/1000</f>
        <v>1.1100000000000001E-3</v>
      </c>
      <c r="F7">
        <v>3064.3330000000001</v>
      </c>
      <c r="G7" s="26">
        <f>O7/1000000</f>
        <v>158.59252869069232</v>
      </c>
      <c r="H7" s="26">
        <v>2050</v>
      </c>
      <c r="I7">
        <f t="shared" ref="I7:I45" si="3">0.000001*H7/((PI()/4)*(C7^2))</f>
        <v>106.09639481607226</v>
      </c>
      <c r="J7" s="26">
        <f t="shared" si="0"/>
        <v>2.3617021276595747</v>
      </c>
      <c r="L7">
        <v>1.1100000000000001</v>
      </c>
      <c r="M7">
        <v>4.96</v>
      </c>
      <c r="N7" s="28">
        <v>47</v>
      </c>
      <c r="O7" s="26">
        <f>F7/((PI()/4)*(C7^2))</f>
        <v>158592528.69069231</v>
      </c>
    </row>
    <row r="8" spans="2:15">
      <c r="B8" t="s">
        <v>104</v>
      </c>
      <c r="C8">
        <f t="shared" si="1"/>
        <v>4.9199999999999999E-3</v>
      </c>
      <c r="D8">
        <f>N8/1000</f>
        <v>0.05</v>
      </c>
      <c r="E8">
        <f t="shared" si="2"/>
        <v>8.9999999999999998E-4</v>
      </c>
      <c r="F8">
        <v>2724</v>
      </c>
      <c r="G8" s="26">
        <f>O8/1000000</f>
        <v>143.28047623184708</v>
      </c>
      <c r="H8" s="39">
        <v>1900</v>
      </c>
      <c r="I8">
        <f t="shared" si="3"/>
        <v>99.938658164651045</v>
      </c>
      <c r="J8" s="26">
        <f t="shared" si="0"/>
        <v>1.7999999999999998</v>
      </c>
      <c r="L8">
        <v>0.9</v>
      </c>
      <c r="M8">
        <v>4.92</v>
      </c>
      <c r="N8" s="28">
        <v>50</v>
      </c>
      <c r="O8" s="26">
        <f>F8/((PI()/4)*(C8^2))</f>
        <v>143280476.23184708</v>
      </c>
    </row>
    <row r="9" spans="2:15">
      <c r="B9" t="s">
        <v>105</v>
      </c>
      <c r="C9">
        <f t="shared" si="1"/>
        <v>5.0000000000000001E-3</v>
      </c>
      <c r="D9">
        <f>N9/1000</f>
        <v>0.05</v>
      </c>
      <c r="E9">
        <f t="shared" si="2"/>
        <v>9.3500000000000007E-4</v>
      </c>
      <c r="F9">
        <v>3007.33</v>
      </c>
      <c r="G9" s="26">
        <f>O9/1000000</f>
        <v>153.16205920273586</v>
      </c>
      <c r="H9" s="39">
        <v>1950</v>
      </c>
      <c r="I9">
        <f t="shared" si="3"/>
        <v>99.312684489342686</v>
      </c>
      <c r="J9" s="26">
        <f t="shared" si="0"/>
        <v>1.8699999999999999</v>
      </c>
      <c r="L9">
        <v>0.93500000000000005</v>
      </c>
      <c r="M9">
        <v>5</v>
      </c>
      <c r="N9">
        <v>50</v>
      </c>
      <c r="O9" s="26">
        <f>F9/((PI()/4)*(C9^2))</f>
        <v>153162059.20273587</v>
      </c>
    </row>
    <row r="10" spans="2:15" ht="15.75" thickBot="1">
      <c r="G10" s="29">
        <f>AVERAGE(G6:G9)</f>
        <v>156.4165321486559</v>
      </c>
      <c r="H10" s="29">
        <f t="shared" ref="H10:J10" si="4">AVERAGE(H6:H9)</f>
        <v>1885</v>
      </c>
      <c r="I10" s="29">
        <f t="shared" si="4"/>
        <v>98.994408904904375</v>
      </c>
      <c r="J10" s="29">
        <f t="shared" si="4"/>
        <v>2.1704255319148937</v>
      </c>
      <c r="O10" s="26"/>
    </row>
    <row r="11" spans="2:15" ht="15.75" thickTop="1">
      <c r="B11" t="s">
        <v>70</v>
      </c>
      <c r="C11">
        <f t="shared" si="1"/>
        <v>4.96E-3</v>
      </c>
      <c r="D11">
        <f>N11/1000</f>
        <v>0.05</v>
      </c>
      <c r="E11">
        <f t="shared" si="2"/>
        <v>1.32E-3</v>
      </c>
      <c r="F11">
        <v>2676.3330000000001</v>
      </c>
      <c r="G11" s="26">
        <f>O11/1000000</f>
        <v>138.51184518404057</v>
      </c>
      <c r="H11" s="39">
        <v>1550</v>
      </c>
      <c r="I11">
        <f t="shared" si="3"/>
        <v>80.219225348737581</v>
      </c>
      <c r="J11" s="26">
        <f t="shared" si="0"/>
        <v>2.64</v>
      </c>
      <c r="L11">
        <v>1.32</v>
      </c>
      <c r="M11">
        <v>4.96</v>
      </c>
      <c r="N11" s="28">
        <v>50</v>
      </c>
      <c r="O11" s="26">
        <f>F11/((PI()/4)*(C11^2))</f>
        <v>138511845.18404058</v>
      </c>
    </row>
    <row r="12" spans="2:15">
      <c r="B12" t="s">
        <v>71</v>
      </c>
      <c r="C12">
        <f t="shared" si="1"/>
        <v>5.0800000000000003E-3</v>
      </c>
      <c r="D12">
        <f>N12/1000</f>
        <v>4.7899999999999998E-2</v>
      </c>
      <c r="E12">
        <f t="shared" si="2"/>
        <v>1.0400000000000001E-3</v>
      </c>
      <c r="F12">
        <v>2582.6669999999999</v>
      </c>
      <c r="G12" s="26">
        <f>O12/1000000</f>
        <v>127.42396286512367</v>
      </c>
      <c r="H12" s="39">
        <v>1800</v>
      </c>
      <c r="I12">
        <f t="shared" si="3"/>
        <v>88.808635862549309</v>
      </c>
      <c r="J12" s="26">
        <f t="shared" si="0"/>
        <v>2.1711899791231737</v>
      </c>
      <c r="L12">
        <v>1.04</v>
      </c>
      <c r="M12">
        <v>5.08</v>
      </c>
      <c r="N12">
        <v>47.9</v>
      </c>
      <c r="O12" s="26">
        <f>F12/((PI()/4)*(C12^2))</f>
        <v>127423962.86512367</v>
      </c>
    </row>
    <row r="13" spans="2:15">
      <c r="B13" t="s">
        <v>74</v>
      </c>
      <c r="C13">
        <f t="shared" si="1"/>
        <v>4.7499999999999999E-3</v>
      </c>
      <c r="D13">
        <f>N13/1000</f>
        <v>5.0500000000000003E-2</v>
      </c>
      <c r="E13">
        <f t="shared" si="2"/>
        <v>1.2900000000000001E-3</v>
      </c>
      <c r="F13">
        <v>2221</v>
      </c>
      <c r="G13" s="26">
        <f>O13/1000000</f>
        <v>125.33473812107687</v>
      </c>
      <c r="H13" s="39">
        <v>1400</v>
      </c>
      <c r="I13">
        <f t="shared" si="3"/>
        <v>79.00433740184944</v>
      </c>
      <c r="J13" s="26">
        <f t="shared" si="0"/>
        <v>2.5544554455445545</v>
      </c>
      <c r="L13">
        <v>1.29</v>
      </c>
      <c r="M13">
        <v>4.75</v>
      </c>
      <c r="N13">
        <v>50.5</v>
      </c>
      <c r="O13" s="26">
        <f>F13/((PI()/4)*(C13^2))</f>
        <v>125334738.12107687</v>
      </c>
    </row>
    <row r="14" spans="2:15">
      <c r="B14" t="s">
        <v>75</v>
      </c>
      <c r="C14">
        <f t="shared" si="1"/>
        <v>4.7999999999999996E-3</v>
      </c>
      <c r="D14">
        <f>N14/1000</f>
        <v>0.05</v>
      </c>
      <c r="E14">
        <f t="shared" si="2"/>
        <v>1.438E-3</v>
      </c>
      <c r="F14">
        <v>2330.6669999999999</v>
      </c>
      <c r="G14" s="26">
        <f>O14/1000000</f>
        <v>128.79762977470781</v>
      </c>
      <c r="H14" s="39">
        <v>1350</v>
      </c>
      <c r="I14">
        <f t="shared" si="3"/>
        <v>74.603879574325944</v>
      </c>
      <c r="J14" s="26">
        <f t="shared" si="0"/>
        <v>2.8759999999999999</v>
      </c>
      <c r="L14">
        <v>1.4379999999999999</v>
      </c>
      <c r="M14">
        <v>4.8</v>
      </c>
      <c r="N14">
        <v>50</v>
      </c>
      <c r="O14" s="26">
        <f>F14/((PI()/4)*(C14^2))</f>
        <v>128797629.77470781</v>
      </c>
    </row>
    <row r="15" spans="2:15" ht="15.75" thickBot="1">
      <c r="G15" s="29">
        <f>AVERAGE(G11:G14)</f>
        <v>130.01704398623724</v>
      </c>
      <c r="H15" s="29">
        <f t="shared" ref="H15:J15" si="5">AVERAGE(H11:H14)</f>
        <v>1525</v>
      </c>
      <c r="I15" s="29">
        <f t="shared" si="5"/>
        <v>80.659019546865579</v>
      </c>
      <c r="J15" s="29">
        <f t="shared" si="5"/>
        <v>2.5604113561669322</v>
      </c>
      <c r="O15" s="26"/>
    </row>
    <row r="16" spans="2:15" ht="15.75" thickTop="1">
      <c r="B16" t="s">
        <v>76</v>
      </c>
      <c r="C16">
        <f t="shared" si="1"/>
        <v>4.1600000000000005E-3</v>
      </c>
      <c r="D16">
        <f>N16/1000</f>
        <v>0.05</v>
      </c>
      <c r="E16">
        <f t="shared" si="2"/>
        <v>4.7999999999999996E-4</v>
      </c>
      <c r="F16">
        <v>1906</v>
      </c>
      <c r="G16" s="26">
        <f>O16/1000000</f>
        <v>140.23174996909785</v>
      </c>
      <c r="H16" s="39">
        <v>1620</v>
      </c>
      <c r="I16">
        <f t="shared" si="3"/>
        <v>119.18963008915976</v>
      </c>
      <c r="J16" s="26">
        <f t="shared" si="0"/>
        <v>0.95999999999999985</v>
      </c>
      <c r="L16">
        <v>0.48</v>
      </c>
      <c r="M16">
        <v>4.16</v>
      </c>
      <c r="N16" s="28">
        <v>50</v>
      </c>
      <c r="O16" s="26">
        <f>F16/((PI()/4)*(C16^2))</f>
        <v>140231749.96909785</v>
      </c>
    </row>
    <row r="17" spans="2:15">
      <c r="B17" t="s">
        <v>77</v>
      </c>
      <c r="C17">
        <f t="shared" si="1"/>
        <v>4.0999999999999995E-3</v>
      </c>
      <c r="D17">
        <f>N17/1000</f>
        <v>5.4899999999999997E-2</v>
      </c>
      <c r="E17">
        <f t="shared" si="2"/>
        <v>3.7500000000000001E-4</v>
      </c>
      <c r="F17">
        <v>1466.33</v>
      </c>
      <c r="G17" s="26">
        <f>O17/1000000</f>
        <v>111.06420830645517</v>
      </c>
      <c r="H17" s="39">
        <v>1380</v>
      </c>
      <c r="I17">
        <f t="shared" si="3"/>
        <v>104.52531658147085</v>
      </c>
      <c r="J17" s="26">
        <f t="shared" si="0"/>
        <v>0.68306010928961747</v>
      </c>
      <c r="L17">
        <v>0.375</v>
      </c>
      <c r="M17">
        <v>4.0999999999999996</v>
      </c>
      <c r="N17">
        <v>54.9</v>
      </c>
      <c r="O17" s="26">
        <f>F17/((PI()/4)*(C17^2))</f>
        <v>111064208.30645517</v>
      </c>
    </row>
    <row r="18" spans="2:15">
      <c r="B18" t="s">
        <v>72</v>
      </c>
      <c r="C18">
        <f t="shared" si="1"/>
        <v>4.1399999999999996E-3</v>
      </c>
      <c r="D18">
        <f>N18/1000</f>
        <v>4.9000000000000002E-2</v>
      </c>
      <c r="E18">
        <f t="shared" si="2"/>
        <v>2.9999999999999997E-4</v>
      </c>
      <c r="F18">
        <v>1561.33</v>
      </c>
      <c r="G18" s="26">
        <f>O18/1000000</f>
        <v>115.9856180063334</v>
      </c>
      <c r="H18" s="39">
        <v>1320</v>
      </c>
      <c r="I18">
        <f t="shared" si="3"/>
        <v>98.058075979043565</v>
      </c>
      <c r="J18" s="26">
        <f t="shared" si="0"/>
        <v>0.61224489795918358</v>
      </c>
      <c r="L18">
        <v>0.3</v>
      </c>
      <c r="M18">
        <v>4.1399999999999997</v>
      </c>
      <c r="N18">
        <v>49</v>
      </c>
      <c r="O18" s="26">
        <f>F18/((PI()/4)*(C18^2))</f>
        <v>115985618.0063334</v>
      </c>
    </row>
    <row r="19" spans="2:15">
      <c r="B19" t="s">
        <v>78</v>
      </c>
      <c r="C19">
        <f t="shared" si="1"/>
        <v>3.7400000000000003E-3</v>
      </c>
      <c r="D19">
        <f>N19/1000</f>
        <v>0.05</v>
      </c>
      <c r="E19">
        <f t="shared" si="2"/>
        <v>3.6999999999999999E-4</v>
      </c>
      <c r="F19">
        <v>1551.6669999999999</v>
      </c>
      <c r="G19" s="26">
        <f>O19/1000000</f>
        <v>141.24251370217732</v>
      </c>
      <c r="H19" s="39">
        <v>1320</v>
      </c>
      <c r="I19">
        <f t="shared" si="3"/>
        <v>120.15472268655201</v>
      </c>
      <c r="J19" s="26">
        <f t="shared" si="0"/>
        <v>0.73999999999999988</v>
      </c>
      <c r="L19">
        <v>0.37</v>
      </c>
      <c r="M19">
        <v>3.74</v>
      </c>
      <c r="N19" s="28">
        <v>50</v>
      </c>
      <c r="O19" s="26">
        <f>F19/((PI()/4)*(C19^2))</f>
        <v>141242513.70217732</v>
      </c>
    </row>
    <row r="20" spans="2:15" ht="15.75" thickBot="1">
      <c r="G20" s="29">
        <f>AVERAGE(G16:G19)</f>
        <v>127.13102249601593</v>
      </c>
      <c r="H20" s="29">
        <f t="shared" ref="H20:J20" si="6">AVERAGE(H16:H19)</f>
        <v>1410</v>
      </c>
      <c r="I20" s="29">
        <f t="shared" si="6"/>
        <v>110.48193633405656</v>
      </c>
      <c r="J20" s="29">
        <f t="shared" si="6"/>
        <v>0.74882625181220019</v>
      </c>
      <c r="O20" s="26"/>
    </row>
    <row r="21" spans="2:15" ht="15.75" thickTop="1">
      <c r="B21" t="s">
        <v>79</v>
      </c>
      <c r="C21">
        <f t="shared" si="1"/>
        <v>4.5399999999999998E-3</v>
      </c>
      <c r="D21">
        <f>N21/1000</f>
        <v>4.8000000000000001E-2</v>
      </c>
      <c r="E21">
        <f t="shared" si="2"/>
        <v>1.2290000000000001E-3</v>
      </c>
      <c r="F21">
        <v>2482</v>
      </c>
      <c r="G21" s="26">
        <f>O21/1000000</f>
        <v>153.32048700890149</v>
      </c>
      <c r="H21" s="39">
        <v>1600</v>
      </c>
      <c r="I21">
        <f t="shared" si="3"/>
        <v>98.836736186237871</v>
      </c>
      <c r="J21" s="26">
        <f t="shared" si="0"/>
        <v>2.5604166666666668</v>
      </c>
      <c r="L21">
        <v>1.2290000000000001</v>
      </c>
      <c r="M21">
        <v>4.54</v>
      </c>
      <c r="N21" s="28">
        <v>48</v>
      </c>
      <c r="O21" s="26">
        <f>F21/((PI()/4)*(C21^2))</f>
        <v>153320487.00890151</v>
      </c>
    </row>
    <row r="22" spans="2:15">
      <c r="B22" t="s">
        <v>80</v>
      </c>
      <c r="C22">
        <f t="shared" si="1"/>
        <v>4.1700000000000001E-3</v>
      </c>
      <c r="D22">
        <f>N22/1000</f>
        <v>4.8000000000000001E-2</v>
      </c>
      <c r="E22">
        <f t="shared" si="2"/>
        <v>1.116E-3</v>
      </c>
      <c r="F22">
        <v>1798.6669999999999</v>
      </c>
      <c r="G22" s="26">
        <f>O22/1000000</f>
        <v>131.70090990287829</v>
      </c>
      <c r="H22" s="39">
        <v>1180</v>
      </c>
      <c r="I22">
        <f t="shared" si="3"/>
        <v>86.401248082828218</v>
      </c>
      <c r="J22" s="26">
        <f t="shared" si="0"/>
        <v>2.3250000000000002</v>
      </c>
      <c r="L22">
        <v>1.1160000000000001</v>
      </c>
      <c r="M22">
        <v>4.17</v>
      </c>
      <c r="N22" s="28">
        <v>48</v>
      </c>
      <c r="O22" s="26">
        <f>F22/((PI()/4)*(C22^2))</f>
        <v>131700909.9028783</v>
      </c>
    </row>
    <row r="23" spans="2:15">
      <c r="B23" t="s">
        <v>81</v>
      </c>
      <c r="C23">
        <f t="shared" si="1"/>
        <v>5.0300000000000006E-3</v>
      </c>
      <c r="D23">
        <f>N23/1000</f>
        <v>4.8500000000000001E-2</v>
      </c>
      <c r="E23">
        <f t="shared" si="2"/>
        <v>1.09E-3</v>
      </c>
      <c r="F23">
        <v>2245.3330000000001</v>
      </c>
      <c r="G23" s="26">
        <f>O23/1000000</f>
        <v>112.99387637194077</v>
      </c>
      <c r="H23" s="39">
        <v>1300</v>
      </c>
      <c r="I23">
        <f t="shared" si="3"/>
        <v>65.421048585453917</v>
      </c>
      <c r="J23" s="26">
        <f t="shared" si="0"/>
        <v>2.2474226804123711</v>
      </c>
      <c r="L23">
        <v>1.0900000000000001</v>
      </c>
      <c r="M23">
        <v>5.03</v>
      </c>
      <c r="N23" s="28">
        <v>48.5</v>
      </c>
      <c r="O23" s="26">
        <f>F23/((PI()/4)*(C23^2))</f>
        <v>112993876.37194078</v>
      </c>
    </row>
    <row r="24" spans="2:15">
      <c r="B24" t="s">
        <v>73</v>
      </c>
      <c r="C24">
        <f t="shared" si="1"/>
        <v>4.9299999999999995E-3</v>
      </c>
      <c r="D24">
        <f>N24/1000</f>
        <v>0.05</v>
      </c>
      <c r="E24">
        <f t="shared" si="2"/>
        <v>1E-3</v>
      </c>
      <c r="F24">
        <v>2175.33</v>
      </c>
      <c r="G24" s="26">
        <f>O24/1000000</f>
        <v>113.95711065870429</v>
      </c>
      <c r="H24" s="39">
        <v>1350</v>
      </c>
      <c r="I24">
        <f t="shared" si="3"/>
        <v>70.721269595532988</v>
      </c>
      <c r="J24" s="26">
        <f t="shared" si="0"/>
        <v>2</v>
      </c>
      <c r="L24">
        <v>1</v>
      </c>
      <c r="M24">
        <v>4.93</v>
      </c>
      <c r="N24" s="28">
        <v>50</v>
      </c>
      <c r="O24" s="26">
        <f>F24/((PI()/4)*(C24^2))</f>
        <v>113957110.6587043</v>
      </c>
    </row>
    <row r="25" spans="2:15" ht="15.75" thickBot="1">
      <c r="G25" s="29">
        <f>AVERAGE(G21:G24)</f>
        <v>127.9930959856062</v>
      </c>
      <c r="H25" s="29">
        <f t="shared" ref="H25:J25" si="7">AVERAGE(H21:H24)</f>
        <v>1357.5</v>
      </c>
      <c r="I25" s="29">
        <f t="shared" si="7"/>
        <v>80.345075612513256</v>
      </c>
      <c r="J25" s="29">
        <f t="shared" si="7"/>
        <v>2.2832098367697595</v>
      </c>
      <c r="O25" s="26"/>
    </row>
    <row r="26" spans="2:15" ht="15.75" thickTop="1">
      <c r="B26" t="s">
        <v>82</v>
      </c>
      <c r="C26">
        <f t="shared" si="1"/>
        <v>4.9800000000000001E-3</v>
      </c>
      <c r="D26">
        <f>N26/1000</f>
        <v>5.0500000000000003E-2</v>
      </c>
      <c r="E26">
        <f t="shared" si="2"/>
        <v>3.7500000000000001E-4</v>
      </c>
      <c r="F26">
        <v>2616</v>
      </c>
      <c r="G26" s="26">
        <f>O26/1000000</f>
        <v>134.30406965319858</v>
      </c>
      <c r="H26" s="39">
        <v>2350</v>
      </c>
      <c r="I26">
        <f t="shared" si="3"/>
        <v>120.64776899274337</v>
      </c>
      <c r="J26" s="26">
        <f t="shared" si="0"/>
        <v>0.74257425742574246</v>
      </c>
      <c r="L26">
        <v>0.375</v>
      </c>
      <c r="M26">
        <v>4.9800000000000004</v>
      </c>
      <c r="N26" s="28">
        <v>50.5</v>
      </c>
      <c r="O26" s="26">
        <f>F26/((PI()/4)*(C26^2))</f>
        <v>134304069.65319857</v>
      </c>
    </row>
    <row r="27" spans="2:15">
      <c r="B27" t="s">
        <v>83</v>
      </c>
      <c r="C27">
        <f t="shared" si="1"/>
        <v>5.0599999999999994E-3</v>
      </c>
      <c r="D27">
        <f>N27/1000</f>
        <v>5.0500000000000003E-2</v>
      </c>
      <c r="E27">
        <f t="shared" si="2"/>
        <v>4.6000000000000001E-4</v>
      </c>
      <c r="F27">
        <v>2478</v>
      </c>
      <c r="G27" s="26">
        <f>O27/1000000</f>
        <v>123.22828007990024</v>
      </c>
      <c r="H27" s="39">
        <v>2478</v>
      </c>
      <c r="I27">
        <f t="shared" si="3"/>
        <v>123.22828007990023</v>
      </c>
      <c r="J27" s="26">
        <f t="shared" si="0"/>
        <v>0.91089108910891081</v>
      </c>
      <c r="L27">
        <v>0.46</v>
      </c>
      <c r="M27">
        <v>5.0599999999999996</v>
      </c>
      <c r="N27" s="28">
        <v>50.5</v>
      </c>
      <c r="O27" s="26">
        <f>F27/((PI()/4)*(C27^2))</f>
        <v>123228280.07990025</v>
      </c>
    </row>
    <row r="28" spans="2:15">
      <c r="B28" t="s">
        <v>84</v>
      </c>
      <c r="C28">
        <f t="shared" si="1"/>
        <v>5.1500000000000001E-3</v>
      </c>
      <c r="D28">
        <f>N28/1000</f>
        <v>4.9000000000000002E-2</v>
      </c>
      <c r="E28">
        <f t="shared" si="2"/>
        <v>4.4000000000000002E-4</v>
      </c>
      <c r="F28">
        <v>2887.3330000000001</v>
      </c>
      <c r="G28" s="26">
        <f>O28/1000000</f>
        <v>138.60935260321656</v>
      </c>
      <c r="H28" s="39">
        <v>2500</v>
      </c>
      <c r="I28">
        <f t="shared" si="3"/>
        <v>120.01503862146882</v>
      </c>
      <c r="J28" s="26">
        <f t="shared" si="0"/>
        <v>0.8979591836734695</v>
      </c>
      <c r="L28">
        <v>0.44</v>
      </c>
      <c r="M28">
        <v>5.15</v>
      </c>
      <c r="N28" s="28">
        <v>49</v>
      </c>
      <c r="O28" s="26">
        <f>F28/((PI()/4)*(C28^2))</f>
        <v>138609352.60321656</v>
      </c>
    </row>
    <row r="29" spans="2:15" ht="15.75" thickBot="1">
      <c r="G29" s="29">
        <f>AVERAGE(G26:G28)</f>
        <v>132.04723411210514</v>
      </c>
      <c r="H29" s="29">
        <f t="shared" ref="H29:J29" si="8">AVERAGE(H26:H28)</f>
        <v>2442.6666666666665</v>
      </c>
      <c r="I29" s="29">
        <f t="shared" si="8"/>
        <v>121.2970292313708</v>
      </c>
      <c r="J29" s="29">
        <f t="shared" si="8"/>
        <v>0.85047484340270751</v>
      </c>
      <c r="O29" s="26"/>
    </row>
    <row r="30" spans="2:15" ht="15.75" thickTop="1">
      <c r="B30" t="s">
        <v>100</v>
      </c>
      <c r="C30">
        <f t="shared" si="1"/>
        <v>0</v>
      </c>
      <c r="D30">
        <f>N30/1000</f>
        <v>0</v>
      </c>
      <c r="E30">
        <f t="shared" si="2"/>
        <v>0</v>
      </c>
      <c r="G30" s="26"/>
      <c r="H30" s="39"/>
      <c r="J30" s="26" t="e">
        <f t="shared" si="0"/>
        <v>#DIV/0!</v>
      </c>
      <c r="N30" s="28"/>
      <c r="O30" s="26" t="e">
        <f>F30/((PI()/4)*(C30^2))</f>
        <v>#DIV/0!</v>
      </c>
    </row>
    <row r="31" spans="2:15">
      <c r="B31" t="s">
        <v>99</v>
      </c>
      <c r="C31">
        <f t="shared" si="1"/>
        <v>3.6700000000000001E-3</v>
      </c>
      <c r="D31">
        <f>N31/1000</f>
        <v>4.9349999999999998E-2</v>
      </c>
      <c r="E31">
        <f t="shared" si="2"/>
        <v>7.5000000000000002E-4</v>
      </c>
      <c r="F31">
        <v>1596</v>
      </c>
      <c r="G31" s="26">
        <f>O31/1000000</f>
        <v>150.87277456936494</v>
      </c>
      <c r="H31" s="39">
        <v>1020</v>
      </c>
      <c r="I31">
        <f t="shared" si="3"/>
        <v>96.422449912752015</v>
      </c>
      <c r="J31" s="26">
        <f t="shared" si="0"/>
        <v>1.5197568389057752</v>
      </c>
      <c r="L31">
        <v>0.75</v>
      </c>
      <c r="M31">
        <v>3.67</v>
      </c>
      <c r="N31">
        <v>49.35</v>
      </c>
      <c r="O31" s="26">
        <f>F31/((PI()/4)*(C31^2))</f>
        <v>150872774.56936494</v>
      </c>
    </row>
    <row r="32" spans="2:15">
      <c r="B32" t="s">
        <v>98</v>
      </c>
      <c r="C32">
        <f t="shared" si="1"/>
        <v>0</v>
      </c>
      <c r="D32">
        <f>N32/1000</f>
        <v>0</v>
      </c>
      <c r="E32">
        <f t="shared" si="2"/>
        <v>0</v>
      </c>
      <c r="G32" s="26"/>
      <c r="H32" s="39"/>
      <c r="J32" s="26"/>
      <c r="N32" s="28"/>
      <c r="O32" s="26" t="e">
        <f>F32/((PI()/4)*(C32^2))</f>
        <v>#DIV/0!</v>
      </c>
    </row>
    <row r="33" spans="2:15">
      <c r="B33" t="s">
        <v>97</v>
      </c>
      <c r="C33">
        <f t="shared" si="1"/>
        <v>0</v>
      </c>
      <c r="D33">
        <f>N33/1000</f>
        <v>0</v>
      </c>
      <c r="E33">
        <f t="shared" si="2"/>
        <v>0</v>
      </c>
      <c r="G33" s="26"/>
      <c r="H33" s="39"/>
      <c r="J33" s="26"/>
      <c r="N33" s="28"/>
      <c r="O33" s="26" t="e">
        <f>F33/((PI()/4)*(C33^2))</f>
        <v>#DIV/0!</v>
      </c>
    </row>
    <row r="34" spans="2:15" ht="15.75" thickBot="1">
      <c r="G34" s="29">
        <f>AVERAGE(G31:G33)</f>
        <v>150.87277456936494</v>
      </c>
      <c r="H34" s="29">
        <f t="shared" ref="H34:I34" si="9">AVERAGE(H31:H33)</f>
        <v>1020</v>
      </c>
      <c r="I34" s="29">
        <f t="shared" si="9"/>
        <v>96.422449912752015</v>
      </c>
      <c r="J34" s="29">
        <f>AVERAGE(J31)</f>
        <v>1.5197568389057752</v>
      </c>
      <c r="K34" s="40"/>
      <c r="L34" s="40"/>
      <c r="M34" s="29">
        <f t="shared" ref="M34:N34" si="10">AVERAGE(M31:M33)</f>
        <v>3.67</v>
      </c>
      <c r="N34" s="29">
        <f t="shared" si="10"/>
        <v>49.35</v>
      </c>
      <c r="O34" s="26"/>
    </row>
    <row r="35" spans="2:15" ht="15.75" thickTop="1">
      <c r="B35" t="s">
        <v>94</v>
      </c>
      <c r="C35">
        <f t="shared" si="1"/>
        <v>4.9199999999999999E-3</v>
      </c>
      <c r="D35">
        <f>N35/1000</f>
        <v>4.9100000000000005E-2</v>
      </c>
      <c r="E35">
        <f t="shared" si="2"/>
        <v>2.8499999999999999E-4</v>
      </c>
      <c r="F35">
        <v>1514.33</v>
      </c>
      <c r="G35" s="26">
        <f>O35/1000000</f>
        <v>79.652688536040003</v>
      </c>
      <c r="H35" s="39">
        <v>1460</v>
      </c>
      <c r="I35">
        <f t="shared" si="3"/>
        <v>76.794968905468693</v>
      </c>
      <c r="J35" s="26">
        <f t="shared" si="0"/>
        <v>0.58044806517311598</v>
      </c>
      <c r="L35">
        <v>0.28499999999999998</v>
      </c>
      <c r="M35">
        <v>4.92</v>
      </c>
      <c r="N35">
        <v>49.1</v>
      </c>
      <c r="O35" s="26">
        <f>F35/((PI()/4)*(C35^2))</f>
        <v>79652688.536040008</v>
      </c>
    </row>
    <row r="36" spans="2:15">
      <c r="B36" t="s">
        <v>95</v>
      </c>
      <c r="C36">
        <f t="shared" si="1"/>
        <v>4.8799999999999998E-3</v>
      </c>
      <c r="D36">
        <f>N36/1000</f>
        <v>5.04E-2</v>
      </c>
      <c r="E36">
        <f t="shared" si="2"/>
        <v>4.4999999999999999E-4</v>
      </c>
      <c r="F36">
        <v>1912.6669999999999</v>
      </c>
      <c r="G36" s="26">
        <f>O36/1000000</f>
        <v>102.26095388966212</v>
      </c>
      <c r="H36" s="39">
        <v>1560</v>
      </c>
      <c r="I36">
        <f t="shared" si="3"/>
        <v>83.405573509593097</v>
      </c>
      <c r="J36" s="26">
        <f t="shared" si="0"/>
        <v>0.89285714285714279</v>
      </c>
      <c r="L36">
        <v>0.45</v>
      </c>
      <c r="M36">
        <v>4.88</v>
      </c>
      <c r="N36">
        <v>50.4</v>
      </c>
      <c r="O36" s="26">
        <f>F36/((PI()/4)*(C36^2))</f>
        <v>102260953.88966212</v>
      </c>
    </row>
    <row r="37" spans="2:15">
      <c r="B37" t="s">
        <v>96</v>
      </c>
      <c r="C37">
        <f t="shared" si="1"/>
        <v>4.9199999999999999E-3</v>
      </c>
      <c r="D37">
        <f>N37/1000</f>
        <v>4.9100000000000005E-2</v>
      </c>
      <c r="E37">
        <f t="shared" si="2"/>
        <v>3.5E-4</v>
      </c>
      <c r="F37">
        <v>1861.33</v>
      </c>
      <c r="G37" s="26">
        <f>O37/1000000</f>
        <v>97.904643474531539</v>
      </c>
      <c r="H37" s="39">
        <v>1520</v>
      </c>
      <c r="I37">
        <f t="shared" si="3"/>
        <v>79.950926531720839</v>
      </c>
      <c r="J37" s="26">
        <f t="shared" si="0"/>
        <v>0.71283095723014245</v>
      </c>
      <c r="L37">
        <v>0.35</v>
      </c>
      <c r="M37">
        <v>4.92</v>
      </c>
      <c r="N37">
        <v>49.1</v>
      </c>
      <c r="O37" s="26">
        <f>F37/((PI()/4)*(C37^2))</f>
        <v>97904643.474531546</v>
      </c>
    </row>
    <row r="38" spans="2:15" ht="15.75" thickBot="1">
      <c r="G38" s="29">
        <f>AVERAGE(G35:G37)</f>
        <v>93.272761966744554</v>
      </c>
      <c r="H38" s="29">
        <f t="shared" ref="H38:J38" si="11">AVERAGE(H35:H37)</f>
        <v>1513.3333333333333</v>
      </c>
      <c r="I38" s="29">
        <f t="shared" si="11"/>
        <v>80.050489648927552</v>
      </c>
      <c r="J38" s="29">
        <f t="shared" si="11"/>
        <v>0.72871205508680037</v>
      </c>
      <c r="O38" s="26"/>
    </row>
    <row r="39" spans="2:15" ht="15.75" thickTop="1">
      <c r="B39" t="s">
        <v>91</v>
      </c>
      <c r="C39">
        <f t="shared" si="1"/>
        <v>5.0999999999999995E-3</v>
      </c>
      <c r="D39">
        <f>N39/1000</f>
        <v>4.9000000000000002E-2</v>
      </c>
      <c r="E39">
        <f t="shared" si="2"/>
        <v>5.9999999999999995E-4</v>
      </c>
      <c r="F39">
        <v>2105.33</v>
      </c>
      <c r="G39" s="26">
        <f>O39/1000000</f>
        <v>103.05995427594313</v>
      </c>
      <c r="H39" s="39">
        <v>1800</v>
      </c>
      <c r="I39">
        <f t="shared" si="3"/>
        <v>88.113463303471491</v>
      </c>
      <c r="J39" s="26">
        <f t="shared" si="0"/>
        <v>1.2244897959183672</v>
      </c>
      <c r="L39">
        <v>0.6</v>
      </c>
      <c r="M39">
        <v>5.0999999999999996</v>
      </c>
      <c r="N39">
        <v>49</v>
      </c>
      <c r="O39" s="26">
        <f>F39/((PI()/4)*(C39^2))</f>
        <v>103059954.27594313</v>
      </c>
    </row>
    <row r="40" spans="2:15">
      <c r="B40" t="s">
        <v>92</v>
      </c>
      <c r="C40">
        <f t="shared" si="1"/>
        <v>5.0400000000000002E-3</v>
      </c>
      <c r="D40">
        <f>N40/1000</f>
        <v>4.7700000000000006E-2</v>
      </c>
      <c r="E40">
        <f t="shared" si="2"/>
        <v>8.9999999999999998E-4</v>
      </c>
      <c r="F40">
        <v>2816.3330000000001</v>
      </c>
      <c r="G40" s="26">
        <f>O40/1000000</f>
        <v>141.16695589028311</v>
      </c>
      <c r="H40" s="39">
        <v>2000</v>
      </c>
      <c r="I40">
        <f t="shared" si="3"/>
        <v>100.2487673796267</v>
      </c>
      <c r="J40" s="26">
        <f t="shared" si="0"/>
        <v>1.8867924528301883</v>
      </c>
      <c r="L40">
        <v>0.9</v>
      </c>
      <c r="M40">
        <v>5.04</v>
      </c>
      <c r="N40">
        <v>47.7</v>
      </c>
      <c r="O40" s="26">
        <f>F40/((PI()/4)*(C40^2))</f>
        <v>141166955.89028311</v>
      </c>
    </row>
    <row r="41" spans="2:15">
      <c r="B41" t="s">
        <v>93</v>
      </c>
      <c r="C41">
        <f t="shared" si="1"/>
        <v>5.0800000000000003E-3</v>
      </c>
      <c r="D41">
        <f>N41/1000</f>
        <v>4.6799999999999994E-2</v>
      </c>
      <c r="E41">
        <f t="shared" si="2"/>
        <v>7.0999999999999991E-4</v>
      </c>
      <c r="F41">
        <v>2778.6669999999999</v>
      </c>
      <c r="G41" s="26">
        <f>O41/1000000</f>
        <v>137.0942365479346</v>
      </c>
      <c r="H41" s="39">
        <v>1850</v>
      </c>
      <c r="I41">
        <f t="shared" si="3"/>
        <v>91.275542414286775</v>
      </c>
      <c r="J41" s="26">
        <f t="shared" si="0"/>
        <v>1.517094017094017</v>
      </c>
      <c r="L41">
        <v>0.71</v>
      </c>
      <c r="M41">
        <v>5.08</v>
      </c>
      <c r="N41">
        <v>46.8</v>
      </c>
      <c r="O41" s="26">
        <f>F41/((PI()/4)*(C41^2))</f>
        <v>137094236.54793459</v>
      </c>
    </row>
    <row r="42" spans="2:15" ht="15.75" thickBot="1">
      <c r="G42" s="29">
        <f>AVERAGE(G39:G41)</f>
        <v>127.10704890472027</v>
      </c>
      <c r="H42" s="29">
        <f t="shared" ref="H42:J42" si="12">AVERAGE(H39:H41)</f>
        <v>1883.3333333333333</v>
      </c>
      <c r="I42" s="29">
        <f t="shared" si="12"/>
        <v>93.21259103246166</v>
      </c>
      <c r="J42" s="29">
        <f t="shared" si="12"/>
        <v>1.5427920886141908</v>
      </c>
      <c r="O42" s="26"/>
    </row>
    <row r="43" spans="2:15" ht="15.75" thickTop="1">
      <c r="B43" t="s">
        <v>88</v>
      </c>
      <c r="C43">
        <f t="shared" si="1"/>
        <v>4.7499999999999999E-3</v>
      </c>
      <c r="D43">
        <f>N43/1000</f>
        <v>4.9000000000000002E-2</v>
      </c>
      <c r="E43">
        <f t="shared" si="2"/>
        <v>1.5049999999999998E-3</v>
      </c>
      <c r="F43">
        <v>2730</v>
      </c>
      <c r="G43" s="26">
        <f>O43/1000000</f>
        <v>154.05845793360641</v>
      </c>
      <c r="H43" s="39">
        <v>1550</v>
      </c>
      <c r="I43">
        <f t="shared" si="3"/>
        <v>87.469087837761876</v>
      </c>
      <c r="J43" s="26">
        <f t="shared" si="0"/>
        <v>3.0714285714285712</v>
      </c>
      <c r="L43">
        <v>1.5049999999999999</v>
      </c>
      <c r="M43">
        <v>4.75</v>
      </c>
      <c r="N43">
        <v>49</v>
      </c>
      <c r="O43" s="26">
        <f>F43/((PI()/4)*(C43^2))</f>
        <v>154058457.93360642</v>
      </c>
    </row>
    <row r="44" spans="2:15">
      <c r="B44" t="s">
        <v>89</v>
      </c>
      <c r="C44">
        <f t="shared" si="1"/>
        <v>4.5300000000000002E-3</v>
      </c>
      <c r="D44">
        <f>N44/1000</f>
        <v>4.8399999999999999E-2</v>
      </c>
      <c r="E44">
        <f t="shared" si="2"/>
        <v>1.9E-3</v>
      </c>
      <c r="F44">
        <v>2655</v>
      </c>
      <c r="G44" s="26">
        <f>O44/1000000</f>
        <v>164.73210196784044</v>
      </c>
      <c r="H44" s="39">
        <v>1400</v>
      </c>
      <c r="I44">
        <f t="shared" si="3"/>
        <v>86.864385218446927</v>
      </c>
      <c r="J44" s="26">
        <f t="shared" si="0"/>
        <v>3.9256198347107438</v>
      </c>
      <c r="L44">
        <v>1.9</v>
      </c>
      <c r="M44">
        <v>4.53</v>
      </c>
      <c r="N44">
        <v>48.4</v>
      </c>
      <c r="O44" s="26">
        <f>F44/((PI()/4)*(C44^2))</f>
        <v>164732101.96784043</v>
      </c>
    </row>
    <row r="45" spans="2:15">
      <c r="B45" t="s">
        <v>90</v>
      </c>
      <c r="C45">
        <f t="shared" si="1"/>
        <v>5.0800000000000003E-3</v>
      </c>
      <c r="D45">
        <f>N45/1000</f>
        <v>5.0500000000000003E-2</v>
      </c>
      <c r="E45">
        <f t="shared" si="2"/>
        <v>1.5499999999999999E-3</v>
      </c>
      <c r="F45">
        <v>3108.6669999999999</v>
      </c>
      <c r="G45" s="26">
        <f>O45/1000000</f>
        <v>153.37581978940199</v>
      </c>
      <c r="H45" s="39">
        <v>1850</v>
      </c>
      <c r="I45">
        <f t="shared" si="3"/>
        <v>91.275542414286775</v>
      </c>
      <c r="J45" s="26">
        <f t="shared" si="0"/>
        <v>3.0693069306930689</v>
      </c>
      <c r="L45">
        <v>1.55</v>
      </c>
      <c r="M45">
        <v>5.08</v>
      </c>
      <c r="N45" s="28">
        <v>50.5</v>
      </c>
      <c r="O45" s="26">
        <f>F45/((PI()/4)*(C45^2))</f>
        <v>153375819.78940198</v>
      </c>
    </row>
    <row r="46" spans="2:15" ht="15.75" thickBot="1">
      <c r="G46" s="29">
        <f>AVERAGE(G43:G45)</f>
        <v>157.38879323028294</v>
      </c>
      <c r="H46" s="29">
        <f t="shared" ref="H46:J46" si="13">AVERAGE(H43:H45)</f>
        <v>1600</v>
      </c>
      <c r="I46" s="29">
        <f t="shared" si="13"/>
        <v>88.536338490165193</v>
      </c>
      <c r="J46" s="29">
        <f t="shared" si="13"/>
        <v>3.3554517789441278</v>
      </c>
    </row>
    <row r="47" spans="2:15" ht="15.75" thickTop="1">
      <c r="H47" s="12"/>
    </row>
    <row r="48" spans="2:15">
      <c r="H48" s="12"/>
    </row>
    <row r="49" spans="8:8">
      <c r="H49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258"/>
  <sheetViews>
    <sheetView zoomScale="90" zoomScaleNormal="90" workbookViewId="0">
      <selection activeCell="L19" sqref="L19"/>
    </sheetView>
  </sheetViews>
  <sheetFormatPr defaultRowHeight="15"/>
  <cols>
    <col min="1" max="1" width="9.140625" style="26"/>
    <col min="2" max="2" width="8.42578125" style="26" bestFit="1" customWidth="1"/>
    <col min="3" max="3" width="10.7109375" style="26" customWidth="1"/>
    <col min="4" max="4" width="12.28515625" style="26" customWidth="1"/>
    <col min="5" max="5" width="12.5703125" style="26" bestFit="1" customWidth="1"/>
    <col min="6" max="6" width="15.5703125" style="26" bestFit="1" customWidth="1"/>
    <col min="7" max="7" width="15.140625" style="26" customWidth="1"/>
    <col min="8" max="8" width="11.140625" style="26" customWidth="1"/>
    <col min="9" max="18" width="9.140625" style="26"/>
    <col min="19" max="19" width="20.28515625" style="26" bestFit="1" customWidth="1"/>
    <col min="20" max="20" width="11.7109375" style="26" customWidth="1"/>
    <col min="21" max="21" width="15.42578125" style="26" customWidth="1"/>
    <col min="22" max="23" width="9.28515625" style="26" bestFit="1" customWidth="1"/>
    <col min="24" max="24" width="11.140625" style="26" customWidth="1"/>
    <col min="25" max="25" width="17.5703125" style="26" bestFit="1" customWidth="1"/>
    <col min="26" max="26" width="9.28515625" style="26" bestFit="1" customWidth="1"/>
    <col min="27" max="16384" width="9.140625" style="26"/>
  </cols>
  <sheetData>
    <row r="1" spans="1:31">
      <c r="A1" s="131" t="s">
        <v>114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3"/>
    </row>
    <row r="2" spans="1:31">
      <c r="A2" s="13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6"/>
      <c r="S2" s="26" t="s">
        <v>154</v>
      </c>
      <c r="AC2" s="26">
        <f>U5/U9</f>
        <v>0.38670453431999874</v>
      </c>
      <c r="AD2" s="26" t="e">
        <f>f</f>
        <v>#NAME?</v>
      </c>
    </row>
    <row r="3" spans="1:31" ht="15.75" thickBot="1">
      <c r="A3" s="134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6"/>
      <c r="S3" s="200" t="s">
        <v>165</v>
      </c>
      <c r="T3" s="200"/>
      <c r="U3" s="200"/>
      <c r="V3" s="200"/>
      <c r="W3" s="200"/>
      <c r="X3" s="200"/>
      <c r="Y3" s="200"/>
    </row>
    <row r="4" spans="1:31" ht="15.75" thickBot="1">
      <c r="A4" s="137"/>
      <c r="B4" s="138" t="s">
        <v>116</v>
      </c>
      <c r="C4" s="139" t="s">
        <v>116</v>
      </c>
      <c r="D4" s="139" t="s">
        <v>119</v>
      </c>
      <c r="E4" s="140" t="s">
        <v>121</v>
      </c>
      <c r="F4" s="199" t="s">
        <v>132</v>
      </c>
      <c r="G4" s="199"/>
      <c r="H4" s="199"/>
      <c r="I4" s="199"/>
      <c r="J4" s="199"/>
      <c r="K4" s="201"/>
      <c r="L4" s="135"/>
      <c r="M4" s="135"/>
      <c r="N4" s="135"/>
      <c r="O4" s="135"/>
      <c r="P4" s="135"/>
      <c r="Q4" s="136"/>
      <c r="R4" s="141" t="s">
        <v>146</v>
      </c>
      <c r="S4" s="142" t="s">
        <v>155</v>
      </c>
      <c r="T4" s="142" t="s">
        <v>160</v>
      </c>
      <c r="U4" s="142" t="s">
        <v>161</v>
      </c>
      <c r="V4" s="142" t="s">
        <v>168</v>
      </c>
      <c r="W4" s="142" t="s">
        <v>235</v>
      </c>
      <c r="X4" s="142" t="s">
        <v>234</v>
      </c>
      <c r="Y4" s="142" t="s">
        <v>236</v>
      </c>
    </row>
    <row r="5" spans="1:31" ht="15.75" thickBot="1">
      <c r="A5" s="138" t="s">
        <v>115</v>
      </c>
      <c r="B5" s="143" t="s">
        <v>117</v>
      </c>
      <c r="C5" s="144" t="s">
        <v>118</v>
      </c>
      <c r="D5" s="144" t="s">
        <v>120</v>
      </c>
      <c r="E5" s="145"/>
      <c r="F5" s="199" t="s">
        <v>133</v>
      </c>
      <c r="G5" s="199"/>
      <c r="H5" s="199"/>
      <c r="I5" s="146"/>
      <c r="J5" s="146" t="s">
        <v>131</v>
      </c>
      <c r="K5" s="147" t="s">
        <v>134</v>
      </c>
      <c r="L5" s="135"/>
      <c r="M5" s="135"/>
      <c r="N5" s="135"/>
      <c r="O5" s="135"/>
      <c r="P5" s="135"/>
      <c r="Q5" s="135"/>
      <c r="R5" s="80">
        <v>1</v>
      </c>
      <c r="S5" s="98" t="s">
        <v>157</v>
      </c>
      <c r="T5" s="79">
        <v>2</v>
      </c>
      <c r="U5" s="79">
        <f>3*((E18-$K$15)^2+(E19-$K$15)^2+(E20-$K$15)^2)</f>
        <v>5.877407356030619</v>
      </c>
      <c r="V5" s="79">
        <f>U5/T5</f>
        <v>2.9387036780153095</v>
      </c>
      <c r="W5" s="79">
        <f>V5/$V$8</f>
        <v>3.4646327772438692</v>
      </c>
      <c r="X5" s="52">
        <f>FDIST(W5,T5,$T$8)</f>
        <v>0.22398258712220209</v>
      </c>
      <c r="Y5" s="79">
        <f>100*U5/$U$9</f>
        <v>38.670453431999874</v>
      </c>
      <c r="Z5" s="26">
        <f>V5/$V$10</f>
        <v>1.2563937575624426</v>
      </c>
      <c r="AA5" s="26">
        <f>FDIST(Z5,2,4)</f>
        <v>0.37721257675509712</v>
      </c>
    </row>
    <row r="6" spans="1:31">
      <c r="A6" s="148">
        <v>1</v>
      </c>
      <c r="B6" s="49" t="s">
        <v>122</v>
      </c>
      <c r="C6" s="50" t="s">
        <v>125</v>
      </c>
      <c r="D6" s="50" t="s">
        <v>128</v>
      </c>
      <c r="E6" s="50">
        <v>690</v>
      </c>
      <c r="F6" s="50">
        <v>170.63106446934836</v>
      </c>
      <c r="G6" s="50">
        <v>158.59252869069232</v>
      </c>
      <c r="H6" s="50">
        <v>143.28047623184708</v>
      </c>
      <c r="I6" s="50">
        <v>153.16205920273586</v>
      </c>
      <c r="J6" s="50">
        <f>AVERAGE(F6:I6)</f>
        <v>156.4165321486559</v>
      </c>
      <c r="K6" s="50">
        <f>-10*LOG10((1/(J6^2)))</f>
        <v>43.885653061624048</v>
      </c>
      <c r="L6" s="135"/>
      <c r="M6" s="135"/>
      <c r="N6" s="135"/>
      <c r="O6" s="135"/>
      <c r="P6" s="135"/>
      <c r="Q6" s="135"/>
      <c r="R6" s="80">
        <v>2</v>
      </c>
      <c r="S6" s="79" t="s">
        <v>152</v>
      </c>
      <c r="T6" s="79">
        <v>2</v>
      </c>
      <c r="U6" s="79">
        <f>3*((F18-$K$15)^2+(F19-$K$15)^2+(F20-$K$15)^2)</f>
        <v>4.6432977212134201</v>
      </c>
      <c r="V6" s="79">
        <f>U6/T6</f>
        <v>2.3216488606067101</v>
      </c>
      <c r="W6" s="79">
        <f>V6/$V$8</f>
        <v>2.7371459054834943</v>
      </c>
      <c r="X6" s="52">
        <f>FDIST(W6,T6,$T$8)</f>
        <v>0.26758387959388191</v>
      </c>
      <c r="Y6" s="79">
        <f t="shared" ref="Y6:Y9" si="0">100*U6/$U$9</f>
        <v>30.550618227075166</v>
      </c>
      <c r="Z6" s="26">
        <f>V6/$V$10</f>
        <v>0.99258225915727472</v>
      </c>
      <c r="AA6" s="26">
        <f>FDIST(Z6,2,4)</f>
        <v>0.44665047207369679</v>
      </c>
    </row>
    <row r="7" spans="1:31">
      <c r="A7" s="148">
        <v>2</v>
      </c>
      <c r="B7" s="51" t="s">
        <v>122</v>
      </c>
      <c r="C7" s="52" t="s">
        <v>126</v>
      </c>
      <c r="D7" s="52" t="s">
        <v>129</v>
      </c>
      <c r="E7" s="52">
        <v>730</v>
      </c>
      <c r="F7" s="52">
        <v>138.51184518404057</v>
      </c>
      <c r="G7" s="52">
        <v>127.42396286512367</v>
      </c>
      <c r="H7" s="52">
        <v>125.33473812107687</v>
      </c>
      <c r="I7" s="52">
        <v>128.79762977470781</v>
      </c>
      <c r="J7" s="52">
        <f t="shared" ref="J7:J14" si="1">AVERAGE(F7:I7)</f>
        <v>130.01704398623724</v>
      </c>
      <c r="K7" s="50">
        <f t="shared" ref="K7:K14" si="2">-10*LOG10((1/(J7^2)))</f>
        <v>42.280005757518055</v>
      </c>
      <c r="L7" s="135"/>
      <c r="M7" s="135"/>
      <c r="N7" s="135"/>
      <c r="O7" s="135"/>
      <c r="P7" s="135"/>
      <c r="Q7" s="135"/>
      <c r="R7" s="80">
        <v>3</v>
      </c>
      <c r="S7" s="79" t="s">
        <v>156</v>
      </c>
      <c r="T7" s="79">
        <v>2</v>
      </c>
      <c r="U7" s="79">
        <f>3*((D18-$K$15)^2+(D19-$K$15)^2+(D20-$K$15)^2)</f>
        <v>2.9815966524957815</v>
      </c>
      <c r="V7" s="79">
        <f>U7/T7</f>
        <v>1.4907983262478908</v>
      </c>
      <c r="W7" s="79">
        <f>V7/$V$8</f>
        <v>1.7576010756099898</v>
      </c>
      <c r="X7" s="52">
        <f>FDIST(W7,T7,$T$8)</f>
        <v>0.36263403319730031</v>
      </c>
      <c r="Y7" s="79">
        <f t="shared" si="0"/>
        <v>19.617441419138579</v>
      </c>
    </row>
    <row r="8" spans="1:31" ht="30">
      <c r="A8" s="148">
        <v>3</v>
      </c>
      <c r="B8" s="51" t="s">
        <v>122</v>
      </c>
      <c r="C8" s="52" t="s">
        <v>127</v>
      </c>
      <c r="D8" s="52" t="s">
        <v>130</v>
      </c>
      <c r="E8" s="52">
        <v>770</v>
      </c>
      <c r="F8" s="52">
        <v>140.23174996909785</v>
      </c>
      <c r="G8" s="52">
        <v>111.06420830645517</v>
      </c>
      <c r="H8" s="52">
        <v>115.9856180063334</v>
      </c>
      <c r="I8" s="52">
        <v>141.24251370217732</v>
      </c>
      <c r="J8" s="52">
        <f t="shared" si="1"/>
        <v>127.13102249601593</v>
      </c>
      <c r="K8" s="50">
        <f t="shared" si="2"/>
        <v>42.085030799415854</v>
      </c>
      <c r="L8" s="135"/>
      <c r="M8" s="135"/>
      <c r="N8" s="135"/>
      <c r="O8" s="135"/>
      <c r="P8" s="135"/>
      <c r="Q8" s="135"/>
      <c r="R8" s="80">
        <v>4</v>
      </c>
      <c r="S8" s="99" t="s">
        <v>201</v>
      </c>
      <c r="T8" s="79">
        <v>2</v>
      </c>
      <c r="U8" s="79">
        <f>(3*(C18-K15)^2)+(3*(C19-K15)^2)+(3*(C20-K15)^2)</f>
        <v>1.6964012447824623</v>
      </c>
      <c r="V8" s="79">
        <f>U8/T8</f>
        <v>0.84820062239123117</v>
      </c>
      <c r="W8" s="79"/>
      <c r="X8" s="79"/>
      <c r="Y8" s="79">
        <f t="shared" si="0"/>
        <v>11.161486921786382</v>
      </c>
    </row>
    <row r="9" spans="1:31">
      <c r="A9" s="148">
        <v>4</v>
      </c>
      <c r="B9" s="51" t="s">
        <v>123</v>
      </c>
      <c r="C9" s="52" t="s">
        <v>125</v>
      </c>
      <c r="D9" s="52" t="s">
        <v>129</v>
      </c>
      <c r="E9" s="52">
        <v>770</v>
      </c>
      <c r="F9" s="52">
        <v>153.32048700890149</v>
      </c>
      <c r="G9" s="52">
        <v>131.70090990287829</v>
      </c>
      <c r="H9" s="52">
        <v>112.99387637194077</v>
      </c>
      <c r="I9" s="52">
        <v>113.95711065870429</v>
      </c>
      <c r="J9" s="52">
        <f t="shared" si="1"/>
        <v>127.9930959856062</v>
      </c>
      <c r="K9" s="50">
        <f t="shared" si="2"/>
        <v>42.143730884173038</v>
      </c>
      <c r="L9" s="135"/>
      <c r="M9" s="135"/>
      <c r="N9" s="135"/>
      <c r="O9" s="135"/>
      <c r="P9" s="135"/>
      <c r="Q9" s="135"/>
      <c r="R9" s="80"/>
      <c r="S9" s="98" t="s">
        <v>159</v>
      </c>
      <c r="T9" s="79">
        <v>8</v>
      </c>
      <c r="U9" s="79">
        <f>SUM(U5:U8)</f>
        <v>15.198702974522282</v>
      </c>
      <c r="V9" s="79">
        <f>U9/T9</f>
        <v>1.8998378718152853</v>
      </c>
      <c r="W9" s="52"/>
      <c r="X9" s="52"/>
      <c r="Y9" s="79">
        <f t="shared" si="0"/>
        <v>100</v>
      </c>
    </row>
    <row r="10" spans="1:31">
      <c r="A10" s="148">
        <v>5</v>
      </c>
      <c r="B10" s="51" t="s">
        <v>123</v>
      </c>
      <c r="C10" s="52" t="s">
        <v>126</v>
      </c>
      <c r="D10" s="52" t="s">
        <v>130</v>
      </c>
      <c r="E10" s="52">
        <v>690</v>
      </c>
      <c r="F10" s="52">
        <v>134.30406965319858</v>
      </c>
      <c r="G10" s="52">
        <v>123.22828007990024</v>
      </c>
      <c r="H10" s="52">
        <v>138.60935260321656</v>
      </c>
      <c r="I10" s="52"/>
      <c r="J10" s="52">
        <f t="shared" si="1"/>
        <v>132.04723411210514</v>
      </c>
      <c r="K10" s="50">
        <f t="shared" si="2"/>
        <v>42.414586176374854</v>
      </c>
      <c r="L10" s="135"/>
      <c r="M10" s="135"/>
      <c r="N10" s="135"/>
      <c r="O10" s="135"/>
      <c r="P10" s="135"/>
      <c r="Q10" s="135"/>
      <c r="R10" s="80"/>
      <c r="S10" s="100"/>
      <c r="T10" s="79">
        <v>4</v>
      </c>
      <c r="U10" s="79">
        <f>U7+U8</f>
        <v>4.6779978972782441</v>
      </c>
      <c r="V10" s="79">
        <f>V8+V7</f>
        <v>2.3389989486391221</v>
      </c>
      <c r="W10" s="79"/>
      <c r="X10" s="79"/>
      <c r="Y10" s="79"/>
    </row>
    <row r="11" spans="1:31">
      <c r="A11" s="148">
        <v>6</v>
      </c>
      <c r="B11" s="51" t="s">
        <v>123</v>
      </c>
      <c r="C11" s="52" t="s">
        <v>127</v>
      </c>
      <c r="D11" s="52" t="s">
        <v>128</v>
      </c>
      <c r="E11" s="52">
        <v>730</v>
      </c>
      <c r="F11" s="52">
        <v>150.87277456936494</v>
      </c>
      <c r="G11" s="52">
        <v>150</v>
      </c>
      <c r="H11" s="52"/>
      <c r="I11" s="52"/>
      <c r="J11" s="52">
        <f>AVERAGE(F11:I11)</f>
        <v>150.43638728468247</v>
      </c>
      <c r="K11" s="50">
        <f t="shared" si="2"/>
        <v>43.547057906710705</v>
      </c>
      <c r="L11" s="135"/>
      <c r="M11" s="135"/>
      <c r="N11" s="135"/>
      <c r="O11" s="135"/>
      <c r="P11" s="135"/>
      <c r="Q11" s="136"/>
    </row>
    <row r="12" spans="1:31">
      <c r="A12" s="148">
        <v>7</v>
      </c>
      <c r="B12" s="51" t="s">
        <v>124</v>
      </c>
      <c r="C12" s="52" t="s">
        <v>125</v>
      </c>
      <c r="D12" s="52" t="s">
        <v>130</v>
      </c>
      <c r="E12" s="52">
        <v>730</v>
      </c>
      <c r="F12" s="52">
        <v>79.652688536040003</v>
      </c>
      <c r="G12" s="52">
        <v>102.26095388966212</v>
      </c>
      <c r="H12" s="52">
        <v>97.904643474531539</v>
      </c>
      <c r="I12" s="52"/>
      <c r="J12" s="52">
        <f t="shared" si="1"/>
        <v>93.272761966744554</v>
      </c>
      <c r="K12" s="50">
        <f t="shared" si="2"/>
        <v>39.395096743181703</v>
      </c>
      <c r="L12" s="135"/>
      <c r="M12" s="135"/>
      <c r="N12" s="135"/>
      <c r="O12" s="135"/>
      <c r="P12" s="135"/>
      <c r="Q12" s="136"/>
      <c r="Y12" s="26" t="s">
        <v>155</v>
      </c>
      <c r="Z12" s="26" t="s">
        <v>239</v>
      </c>
      <c r="AA12" s="26" t="s">
        <v>240</v>
      </c>
      <c r="AB12" s="26" t="s">
        <v>241</v>
      </c>
      <c r="AC12" s="26" t="s">
        <v>242</v>
      </c>
      <c r="AD12" s="26" t="s">
        <v>243</v>
      </c>
      <c r="AE12" s="26" t="s">
        <v>244</v>
      </c>
    </row>
    <row r="13" spans="1:31">
      <c r="A13" s="148">
        <v>8</v>
      </c>
      <c r="B13" s="51" t="s">
        <v>124</v>
      </c>
      <c r="C13" s="52" t="s">
        <v>126</v>
      </c>
      <c r="D13" s="52" t="s">
        <v>128</v>
      </c>
      <c r="E13" s="52">
        <v>770</v>
      </c>
      <c r="F13" s="52">
        <v>103.05995427594313</v>
      </c>
      <c r="G13" s="52">
        <v>141.16695589028311</v>
      </c>
      <c r="H13" s="52">
        <v>137.0942365479346</v>
      </c>
      <c r="I13" s="52"/>
      <c r="J13" s="52">
        <f t="shared" si="1"/>
        <v>127.10704890472027</v>
      </c>
      <c r="K13" s="50">
        <f t="shared" si="2"/>
        <v>42.083392712974337</v>
      </c>
      <c r="L13" s="135"/>
      <c r="M13" s="135"/>
      <c r="N13" s="135"/>
      <c r="O13" s="135"/>
      <c r="P13" s="135"/>
      <c r="Q13" s="136"/>
      <c r="Y13" s="26" t="s">
        <v>157</v>
      </c>
      <c r="Z13" s="26">
        <v>2</v>
      </c>
      <c r="AA13" s="26">
        <v>1226.49</v>
      </c>
      <c r="AB13" s="26">
        <v>1226.49</v>
      </c>
      <c r="AC13" s="26">
        <v>613.24300000000005</v>
      </c>
      <c r="AD13" s="26">
        <f>AC13/$AC$15</f>
        <v>1.3822488594767117</v>
      </c>
      <c r="AE13" s="26">
        <f>FDIST(AD13,Z13,Z15)</f>
        <v>0.34966235103581267</v>
      </c>
    </row>
    <row r="14" spans="1:31" ht="15.75" thickBot="1">
      <c r="A14" s="149">
        <v>9</v>
      </c>
      <c r="B14" s="51" t="s">
        <v>124</v>
      </c>
      <c r="C14" s="52" t="s">
        <v>127</v>
      </c>
      <c r="D14" s="52" t="s">
        <v>129</v>
      </c>
      <c r="E14" s="52">
        <v>690</v>
      </c>
      <c r="F14" s="52">
        <v>154.05845793360641</v>
      </c>
      <c r="G14" s="52">
        <v>164.73210196784044</v>
      </c>
      <c r="H14" s="52">
        <v>153.37581978940199</v>
      </c>
      <c r="I14" s="52"/>
      <c r="J14" s="52">
        <f t="shared" si="1"/>
        <v>157.38879323028294</v>
      </c>
      <c r="K14" s="50">
        <f t="shared" si="2"/>
        <v>43.939476109187581</v>
      </c>
      <c r="L14" s="135"/>
      <c r="M14" s="135"/>
      <c r="N14" s="135"/>
      <c r="O14" s="135"/>
      <c r="P14" s="135"/>
      <c r="Q14" s="136"/>
      <c r="Y14" s="26" t="s">
        <v>152</v>
      </c>
      <c r="Z14" s="26">
        <v>2</v>
      </c>
      <c r="AA14" s="26">
        <v>1028.03</v>
      </c>
      <c r="AB14" s="26">
        <v>1028.03</v>
      </c>
      <c r="AC14" s="26">
        <v>514.01300000000003</v>
      </c>
      <c r="AD14" s="26">
        <f>AC14/$AC$15</f>
        <v>1.1585845790432228</v>
      </c>
      <c r="AE14" s="26">
        <f>FDIST(AD14,Z14,Z16)</f>
        <v>0.46326653572263876</v>
      </c>
    </row>
    <row r="15" spans="1:31" ht="15.75" thickBot="1">
      <c r="A15" s="134"/>
      <c r="B15" s="135"/>
      <c r="C15" s="135"/>
      <c r="D15" s="135"/>
      <c r="E15" s="135"/>
      <c r="F15" s="135"/>
      <c r="G15" s="135"/>
      <c r="H15" s="135"/>
      <c r="I15" s="135"/>
      <c r="J15" s="135"/>
      <c r="K15" s="150">
        <f>AVERAGE(K6:K14)</f>
        <v>42.419336683462234</v>
      </c>
      <c r="L15" s="135"/>
      <c r="M15" s="135"/>
      <c r="N15" s="135"/>
      <c r="O15" s="135"/>
      <c r="P15" s="135"/>
      <c r="Q15" s="136"/>
      <c r="Y15" s="151" t="s">
        <v>211</v>
      </c>
      <c r="Z15" s="26">
        <v>4</v>
      </c>
      <c r="AA15" s="26">
        <f>SUM(AA16:AA17)</f>
        <v>887.32</v>
      </c>
      <c r="AB15" s="26">
        <f>SUM(AB16:AB17)</f>
        <v>887.32</v>
      </c>
      <c r="AC15" s="26">
        <f>SUM(AC16:AC17)</f>
        <v>443.65600000000001</v>
      </c>
      <c r="AE15" s="26" t="s">
        <v>246</v>
      </c>
    </row>
    <row r="16" spans="1:31" ht="15.75" thickBot="1">
      <c r="A16" s="134"/>
      <c r="B16" s="135"/>
      <c r="C16" s="138" t="s">
        <v>116</v>
      </c>
      <c r="D16" s="139" t="s">
        <v>116</v>
      </c>
      <c r="E16" s="139" t="s">
        <v>119</v>
      </c>
      <c r="F16" s="140" t="s">
        <v>121</v>
      </c>
      <c r="G16" s="135"/>
      <c r="H16" s="58" t="s">
        <v>220</v>
      </c>
      <c r="I16" s="135">
        <f>STDEV(F6:I6)</f>
        <v>11.400810632760948</v>
      </c>
      <c r="J16" s="152">
        <f>AVERAGE(I16:I21)</f>
        <v>12.062109613146314</v>
      </c>
      <c r="K16" s="135"/>
      <c r="L16" s="135"/>
      <c r="M16" s="135"/>
      <c r="N16" s="135"/>
      <c r="O16" s="135"/>
      <c r="P16" s="135"/>
      <c r="Q16" s="136"/>
      <c r="S16" s="26" t="s">
        <v>166</v>
      </c>
      <c r="T16" s="26" t="s">
        <v>167</v>
      </c>
      <c r="Y16" s="153" t="s">
        <v>245</v>
      </c>
      <c r="Z16" s="26">
        <v>2</v>
      </c>
      <c r="AA16" s="26">
        <v>265.22000000000003</v>
      </c>
      <c r="AB16" s="26">
        <v>265.22000000000003</v>
      </c>
      <c r="AC16" s="26">
        <v>132.608</v>
      </c>
      <c r="AD16" s="26" t="s">
        <v>246</v>
      </c>
      <c r="AE16" s="26" t="s">
        <v>246</v>
      </c>
    </row>
    <row r="17" spans="1:30" ht="15.75" thickBot="1">
      <c r="A17" s="134"/>
      <c r="B17" s="35" t="s">
        <v>144</v>
      </c>
      <c r="C17" s="144" t="s">
        <v>117</v>
      </c>
      <c r="D17" s="144" t="s">
        <v>118</v>
      </c>
      <c r="E17" s="144" t="s">
        <v>120</v>
      </c>
      <c r="F17" s="145"/>
      <c r="G17" s="135"/>
      <c r="H17" s="135"/>
      <c r="I17" s="135">
        <f>STDEV(F7:I7)</f>
        <v>5.8394256659673118</v>
      </c>
      <c r="J17" s="135"/>
      <c r="K17" s="135"/>
      <c r="L17" s="135"/>
      <c r="M17" s="135"/>
      <c r="N17" s="135"/>
      <c r="O17" s="135"/>
      <c r="P17" s="135"/>
      <c r="Q17" s="136"/>
      <c r="S17" s="26">
        <f t="shared" ref="S17:S25" si="3">(K6-$K$15)^2</f>
        <v>2.1500837208655792</v>
      </c>
      <c r="T17" s="26">
        <f t="shared" ref="T17:T25" si="4">K6^2</f>
        <v>1925.9505446452322</v>
      </c>
      <c r="U17" s="26">
        <f>T17-V17</f>
        <v>-14268.650577339089</v>
      </c>
      <c r="V17" s="43">
        <f>((SUM(K6:K14))^2)/9</f>
        <v>16194.601121984322</v>
      </c>
      <c r="W17" s="26">
        <f>(K6-$K$15)^2</f>
        <v>2.1500837208655792</v>
      </c>
      <c r="Y17" s="153" t="s">
        <v>118</v>
      </c>
      <c r="Z17" s="26">
        <v>2</v>
      </c>
      <c r="AA17" s="26">
        <v>622.1</v>
      </c>
      <c r="AB17" s="26">
        <v>622.1</v>
      </c>
      <c r="AC17" s="26">
        <v>311.048</v>
      </c>
      <c r="AD17" s="26" t="s">
        <v>246</v>
      </c>
    </row>
    <row r="18" spans="1:30">
      <c r="A18" s="134"/>
      <c r="B18" s="154">
        <v>1</v>
      </c>
      <c r="C18" s="49">
        <f>AVERAGE(K6:K8)</f>
        <v>42.75022987285265</v>
      </c>
      <c r="D18" s="50">
        <f>AVERAGE(K6,K9,K12)</f>
        <v>41.808160229659599</v>
      </c>
      <c r="E18" s="50">
        <f>AVERAGE(K6,K11,K13)</f>
        <v>43.172034560436366</v>
      </c>
      <c r="F18" s="50">
        <f>AVERAGE(K6,K10,K14)</f>
        <v>43.413238449062163</v>
      </c>
      <c r="G18" s="135"/>
      <c r="H18" s="135"/>
      <c r="I18" s="135">
        <f>STDEV(F8:I8)</f>
        <v>15.844302906997301</v>
      </c>
      <c r="J18" s="135"/>
      <c r="K18" s="135"/>
      <c r="L18" s="135"/>
      <c r="M18" s="135"/>
      <c r="N18" s="135"/>
      <c r="O18" s="135"/>
      <c r="P18" s="135"/>
      <c r="Q18" s="136"/>
      <c r="S18" s="26">
        <f t="shared" si="3"/>
        <v>1.9413106924462371E-2</v>
      </c>
      <c r="T18" s="26">
        <f t="shared" si="4"/>
        <v>1787.5988868557599</v>
      </c>
      <c r="U18" s="26">
        <f t="shared" ref="U18:U25" si="5">T18-V18</f>
        <v>1787.5988868557599</v>
      </c>
      <c r="W18" s="26">
        <f t="shared" ref="W18:W25" si="6">(K7-$K$15)^2</f>
        <v>1.9413106924462371E-2</v>
      </c>
      <c r="Y18" s="26" t="s">
        <v>159</v>
      </c>
      <c r="Z18" s="26">
        <v>8</v>
      </c>
      <c r="AA18" s="26">
        <v>3141.83</v>
      </c>
    </row>
    <row r="19" spans="1:30">
      <c r="A19" s="134"/>
      <c r="B19" s="154">
        <v>2</v>
      </c>
      <c r="C19" s="51">
        <f>AVERAGE(K9:K11)</f>
        <v>42.701791655752864</v>
      </c>
      <c r="D19" s="52">
        <f>AVERAGE(K7,K10,K13)</f>
        <v>42.259328215622418</v>
      </c>
      <c r="E19" s="52">
        <f>AVERAGE(K7,K9,K14)</f>
        <v>42.787737583626232</v>
      </c>
      <c r="F19" s="52">
        <f>AVERAGE(K7,K11,K12)</f>
        <v>41.740720135803485</v>
      </c>
      <c r="G19" s="135"/>
      <c r="H19" s="135"/>
      <c r="I19" s="135">
        <f>STDEV(F12:H12)</f>
        <v>11.994755533214454</v>
      </c>
      <c r="J19" s="135"/>
      <c r="K19" s="135"/>
      <c r="L19" s="135"/>
      <c r="M19" s="135"/>
      <c r="N19" s="135"/>
      <c r="O19" s="135"/>
      <c r="P19" s="135"/>
      <c r="Q19" s="136"/>
      <c r="S19" s="26">
        <f t="shared" si="3"/>
        <v>0.11176042410803148</v>
      </c>
      <c r="T19" s="26">
        <f t="shared" si="4"/>
        <v>1771.149817387781</v>
      </c>
      <c r="U19" s="26">
        <f t="shared" si="5"/>
        <v>1771.149817387781</v>
      </c>
      <c r="W19" s="26">
        <f t="shared" si="6"/>
        <v>0.11176042410803148</v>
      </c>
    </row>
    <row r="20" spans="1:30">
      <c r="A20" s="134"/>
      <c r="B20" s="154">
        <v>3</v>
      </c>
      <c r="C20" s="51">
        <f>AVERAGE(K12:K14)</f>
        <v>41.805988521781209</v>
      </c>
      <c r="D20" s="52">
        <f>AVERAGE(K8,K11,K14)</f>
        <v>43.190521605104713</v>
      </c>
      <c r="E20" s="52">
        <f>AVERAGE(K8,K10,K12)</f>
        <v>41.29823790632414</v>
      </c>
      <c r="F20" s="52">
        <f>AVERAGE(K8,K9,K13)</f>
        <v>42.104051465521074</v>
      </c>
      <c r="G20" s="135"/>
      <c r="H20" s="135"/>
      <c r="I20" s="135">
        <f t="shared" ref="I20:I21" si="7">STDEV(F13:H13)</f>
        <v>20.924718176702012</v>
      </c>
      <c r="J20" s="135"/>
      <c r="K20" s="135"/>
      <c r="L20" s="135"/>
      <c r="M20" s="135"/>
      <c r="N20" s="135"/>
      <c r="O20" s="135"/>
      <c r="P20" s="135"/>
      <c r="Q20" s="136"/>
      <c r="S20" s="26">
        <f t="shared" si="3"/>
        <v>7.5958556601836244E-2</v>
      </c>
      <c r="T20" s="26">
        <f t="shared" si="4"/>
        <v>1776.0940528376004</v>
      </c>
      <c r="U20" s="26">
        <f t="shared" si="5"/>
        <v>1776.0940528376004</v>
      </c>
      <c r="W20" s="26">
        <f t="shared" si="6"/>
        <v>7.5958556601836244E-2</v>
      </c>
    </row>
    <row r="21" spans="1:30">
      <c r="A21" s="134"/>
      <c r="B21" s="155" t="s">
        <v>145</v>
      </c>
      <c r="C21" s="51">
        <f>MAX(C18:C20)-MIN(C18:C20)</f>
        <v>0.94424135107144025</v>
      </c>
      <c r="D21" s="52">
        <f t="shared" ref="D21:F21" si="8">MAX(D18:D20)-MIN(D18:D20)</f>
        <v>1.3823613754451145</v>
      </c>
      <c r="E21" s="52">
        <f t="shared" si="8"/>
        <v>1.8737966541122262</v>
      </c>
      <c r="F21" s="52">
        <f t="shared" si="8"/>
        <v>1.6725183132586778</v>
      </c>
      <c r="G21" s="135"/>
      <c r="H21" s="135"/>
      <c r="I21" s="135">
        <f t="shared" si="7"/>
        <v>6.36864476323586</v>
      </c>
      <c r="J21" s="135"/>
      <c r="K21" s="135"/>
      <c r="L21" s="135"/>
      <c r="M21" s="135"/>
      <c r="N21" s="135"/>
      <c r="O21" s="135"/>
      <c r="P21" s="135"/>
      <c r="Q21" s="136"/>
      <c r="S21" s="26">
        <f t="shared" si="3"/>
        <v>2.2567317587244513E-5</v>
      </c>
      <c r="T21" s="26">
        <f t="shared" si="4"/>
        <v>1798.9971205131289</v>
      </c>
      <c r="U21" s="26">
        <f t="shared" si="5"/>
        <v>1798.9971205131289</v>
      </c>
      <c r="W21" s="26">
        <f t="shared" si="6"/>
        <v>2.2567317587244513E-5</v>
      </c>
    </row>
    <row r="22" spans="1:30" ht="15.75" thickBot="1">
      <c r="A22" s="134"/>
      <c r="B22" s="156" t="s">
        <v>146</v>
      </c>
      <c r="C22" s="157">
        <f>RANK(C21,C21:F21)</f>
        <v>4</v>
      </c>
      <c r="D22" s="100">
        <f>RANK(D21,C21:F21)</f>
        <v>3</v>
      </c>
      <c r="E22" s="100">
        <f>RANK(E21,C21:F21)</f>
        <v>1</v>
      </c>
      <c r="F22" s="100">
        <f>RANK(F21,C21:F21)</f>
        <v>2</v>
      </c>
      <c r="G22" s="135"/>
      <c r="H22" s="43" t="s">
        <v>125</v>
      </c>
      <c r="I22" s="43" t="s">
        <v>126</v>
      </c>
      <c r="J22" s="43" t="s">
        <v>127</v>
      </c>
      <c r="K22" s="135"/>
      <c r="L22" s="135" t="s">
        <v>149</v>
      </c>
      <c r="M22" s="135" t="s">
        <v>150</v>
      </c>
      <c r="N22" s="135" t="s">
        <v>151</v>
      </c>
      <c r="O22" s="135"/>
      <c r="P22" s="135"/>
      <c r="Q22" s="136"/>
      <c r="S22" s="26">
        <f t="shared" si="3"/>
        <v>1.2717551573650288</v>
      </c>
      <c r="T22" s="26">
        <f t="shared" si="4"/>
        <v>1896.3462523304154</v>
      </c>
      <c r="U22" s="26">
        <f t="shared" si="5"/>
        <v>1896.3462523304154</v>
      </c>
      <c r="W22" s="26">
        <f t="shared" si="6"/>
        <v>1.2717551573650288</v>
      </c>
    </row>
    <row r="23" spans="1:30">
      <c r="A23" s="134"/>
      <c r="B23" s="135"/>
      <c r="C23" s="135"/>
      <c r="D23" s="135"/>
      <c r="E23" s="135"/>
      <c r="F23" s="135"/>
      <c r="G23" s="135"/>
      <c r="H23" s="43" t="s">
        <v>232</v>
      </c>
      <c r="I23" s="43" t="s">
        <v>233</v>
      </c>
      <c r="J23" s="43" t="s">
        <v>130</v>
      </c>
      <c r="K23" s="135"/>
      <c r="L23" s="135"/>
      <c r="M23" s="135"/>
      <c r="N23" s="135"/>
      <c r="O23" s="135"/>
      <c r="P23" s="135"/>
      <c r="Q23" s="136"/>
      <c r="S23" s="26">
        <f t="shared" si="3"/>
        <v>9.1460272163879868</v>
      </c>
      <c r="T23" s="26">
        <f t="shared" si="4"/>
        <v>1551.9736474046456</v>
      </c>
      <c r="U23" s="26">
        <f t="shared" si="5"/>
        <v>1551.9736474046456</v>
      </c>
      <c r="W23" s="26">
        <f t="shared" si="6"/>
        <v>9.1460272163879868</v>
      </c>
    </row>
    <row r="24" spans="1:30">
      <c r="A24" s="134"/>
      <c r="B24" s="135"/>
      <c r="C24" s="135"/>
      <c r="D24" s="135" t="s">
        <v>122</v>
      </c>
      <c r="E24" s="135" t="s">
        <v>147</v>
      </c>
      <c r="F24" s="135" t="s">
        <v>148</v>
      </c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6"/>
      <c r="S24" s="26">
        <f t="shared" si="3"/>
        <v>0.11285835130717274</v>
      </c>
      <c r="T24" s="26">
        <f t="shared" si="4"/>
        <v>1771.0119422344214</v>
      </c>
      <c r="U24" s="26">
        <f t="shared" si="5"/>
        <v>1771.0119422344214</v>
      </c>
      <c r="W24" s="26">
        <f t="shared" si="6"/>
        <v>0.11285835130717274</v>
      </c>
    </row>
    <row r="25" spans="1:30">
      <c r="A25" s="134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6"/>
      <c r="S25" s="26">
        <f t="shared" si="3"/>
        <v>2.3108238736445874</v>
      </c>
      <c r="T25" s="26">
        <f t="shared" si="4"/>
        <v>1930.6775607498662</v>
      </c>
      <c r="U25" s="26">
        <f t="shared" si="5"/>
        <v>1930.6775607498662</v>
      </c>
      <c r="W25" s="26">
        <f t="shared" si="6"/>
        <v>2.3108238736445874</v>
      </c>
    </row>
    <row r="26" spans="1:30">
      <c r="A26" s="134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6"/>
      <c r="S26" s="58">
        <f>SUM(S17:S25)/9</f>
        <v>1.6887447749469191</v>
      </c>
      <c r="T26" s="58">
        <f>SUM(T17:T25)</f>
        <v>16209.799824958851</v>
      </c>
      <c r="U26" s="58">
        <f>SUM(U17:U25)</f>
        <v>15.19870297452826</v>
      </c>
      <c r="W26" s="26">
        <f>SUM(W17:W25)</f>
        <v>15.198702974522272</v>
      </c>
    </row>
    <row r="27" spans="1:30">
      <c r="A27" s="134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6"/>
    </row>
    <row r="28" spans="1:30">
      <c r="A28" s="134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6"/>
    </row>
    <row r="29" spans="1:30">
      <c r="A29" s="134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6"/>
      <c r="W29" s="151"/>
    </row>
    <row r="30" spans="1:30">
      <c r="A30" s="134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6"/>
      <c r="S30" s="56"/>
      <c r="T30" s="158"/>
      <c r="U30" s="158"/>
    </row>
    <row r="31" spans="1:30">
      <c r="A31" s="134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6"/>
      <c r="S31" s="56"/>
      <c r="T31" s="135"/>
      <c r="U31" s="135"/>
    </row>
    <row r="32" spans="1:30">
      <c r="A32" s="134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6"/>
      <c r="S32" s="76"/>
      <c r="T32" s="135"/>
      <c r="U32" s="135"/>
    </row>
    <row r="33" spans="1:28">
      <c r="A33" s="134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6"/>
      <c r="S33" s="56"/>
      <c r="T33" s="158"/>
      <c r="U33" s="158"/>
    </row>
    <row r="34" spans="1:28">
      <c r="A34" s="134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6"/>
      <c r="S34" s="158"/>
      <c r="T34" s="158"/>
      <c r="U34" s="158"/>
    </row>
    <row r="35" spans="1:28">
      <c r="A35" s="134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6"/>
      <c r="S35" s="158"/>
      <c r="T35" s="158"/>
      <c r="U35" s="158"/>
    </row>
    <row r="36" spans="1:28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6"/>
      <c r="S36" s="76"/>
    </row>
    <row r="37" spans="1:28">
      <c r="A37" s="134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6"/>
    </row>
    <row r="38" spans="1:28">
      <c r="A38" s="134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6"/>
    </row>
    <row r="39" spans="1:28" ht="15.75" thickBot="1">
      <c r="A39" s="159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1"/>
    </row>
    <row r="40" spans="1:28" ht="15.75" thickBot="1">
      <c r="A40" s="131" t="s">
        <v>114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3"/>
      <c r="S40" s="26" t="s">
        <v>154</v>
      </c>
    </row>
    <row r="41" spans="1:28" ht="15.75" thickBot="1">
      <c r="A41" s="134"/>
      <c r="B41" s="162" t="s">
        <v>116</v>
      </c>
      <c r="C41" s="163" t="s">
        <v>116</v>
      </c>
      <c r="D41" s="163" t="s">
        <v>119</v>
      </c>
      <c r="E41" s="163" t="s">
        <v>121</v>
      </c>
      <c r="F41" s="199" t="s">
        <v>132</v>
      </c>
      <c r="G41" s="199"/>
      <c r="H41" s="199"/>
      <c r="I41" s="199"/>
      <c r="J41" s="199"/>
      <c r="K41" s="201"/>
      <c r="L41" s="135"/>
      <c r="M41" s="135"/>
      <c r="N41" s="135"/>
      <c r="O41" s="135"/>
      <c r="P41" s="135"/>
      <c r="Q41" s="136"/>
      <c r="S41" s="200" t="s">
        <v>202</v>
      </c>
      <c r="T41" s="200"/>
      <c r="U41" s="200"/>
      <c r="V41" s="200"/>
      <c r="W41" s="200"/>
      <c r="X41" s="200"/>
      <c r="Y41" s="200"/>
    </row>
    <row r="42" spans="1:28" ht="15.75" thickBot="1">
      <c r="A42" s="131" t="s">
        <v>115</v>
      </c>
      <c r="B42" s="164" t="s">
        <v>117</v>
      </c>
      <c r="C42" s="149" t="s">
        <v>118</v>
      </c>
      <c r="D42" s="149" t="s">
        <v>120</v>
      </c>
      <c r="E42" s="149"/>
      <c r="F42" s="202" t="s">
        <v>135</v>
      </c>
      <c r="G42" s="202"/>
      <c r="H42" s="202"/>
      <c r="I42" s="165"/>
      <c r="J42" s="165" t="s">
        <v>131</v>
      </c>
      <c r="K42" s="166" t="s">
        <v>134</v>
      </c>
      <c r="L42" s="135"/>
      <c r="M42" s="135"/>
      <c r="N42" s="135"/>
      <c r="O42" s="135"/>
      <c r="P42" s="135"/>
      <c r="Q42" s="136"/>
      <c r="R42" s="141" t="s">
        <v>146</v>
      </c>
      <c r="S42" s="142" t="s">
        <v>155</v>
      </c>
      <c r="T42" s="142" t="s">
        <v>160</v>
      </c>
      <c r="U42" s="142" t="s">
        <v>161</v>
      </c>
      <c r="V42" s="142" t="s">
        <v>168</v>
      </c>
      <c r="W42" s="142" t="s">
        <v>235</v>
      </c>
      <c r="X42" s="142" t="s">
        <v>234</v>
      </c>
      <c r="Y42" s="142" t="s">
        <v>236</v>
      </c>
      <c r="Z42" s="39"/>
      <c r="AA42" s="39"/>
      <c r="AB42" s="39"/>
    </row>
    <row r="43" spans="1:28">
      <c r="A43" s="154">
        <v>1</v>
      </c>
      <c r="B43" s="167" t="s">
        <v>122</v>
      </c>
      <c r="C43" s="168" t="s">
        <v>125</v>
      </c>
      <c r="D43" s="168" t="s">
        <v>128</v>
      </c>
      <c r="E43" s="168">
        <v>690</v>
      </c>
      <c r="F43" s="90">
        <v>90.629898149551522</v>
      </c>
      <c r="G43" s="90">
        <v>106.09639481607226</v>
      </c>
      <c r="H43" s="90">
        <v>99.938658164651045</v>
      </c>
      <c r="I43" s="90">
        <v>99.312684489342686</v>
      </c>
      <c r="J43" s="90">
        <f>AVERAGE(F43:I43)</f>
        <v>98.994408904904375</v>
      </c>
      <c r="K43" s="91">
        <f>-10*LOG10((1/(J43^2)))</f>
        <v>39.912213336331391</v>
      </c>
      <c r="L43" s="135"/>
      <c r="M43" s="135"/>
      <c r="N43" s="135"/>
      <c r="O43" s="135"/>
      <c r="P43" s="135"/>
      <c r="Q43" s="136"/>
      <c r="S43" s="80"/>
      <c r="T43" s="80"/>
      <c r="U43" s="80"/>
      <c r="V43" s="80"/>
      <c r="W43" s="80"/>
      <c r="X43" s="80"/>
      <c r="Y43" s="80"/>
      <c r="Z43" s="39"/>
      <c r="AA43" s="39"/>
      <c r="AB43" s="39"/>
    </row>
    <row r="44" spans="1:28">
      <c r="A44" s="154">
        <v>2</v>
      </c>
      <c r="B44" s="169" t="s">
        <v>122</v>
      </c>
      <c r="C44" s="52" t="s">
        <v>126</v>
      </c>
      <c r="D44" s="52" t="s">
        <v>129</v>
      </c>
      <c r="E44" s="52">
        <v>730</v>
      </c>
      <c r="F44" s="80">
        <v>80.219225348737581</v>
      </c>
      <c r="G44" s="80">
        <v>88.808635862549309</v>
      </c>
      <c r="H44" s="80">
        <v>79.00433740184944</v>
      </c>
      <c r="I44" s="80">
        <v>74.603879574325944</v>
      </c>
      <c r="J44" s="80">
        <f t="shared" ref="J44:J51" si="9">AVERAGE(F44:I44)</f>
        <v>80.659019546865579</v>
      </c>
      <c r="K44" s="170">
        <f t="shared" ref="K44:K51" si="10">-10*LOG10((1/(J44^2)))</f>
        <v>38.133058772481341</v>
      </c>
      <c r="L44" s="135"/>
      <c r="M44" s="135"/>
      <c r="N44" s="135"/>
      <c r="O44" s="135"/>
      <c r="P44" s="135"/>
      <c r="Q44" s="136"/>
      <c r="R44" s="26" t="s">
        <v>146</v>
      </c>
      <c r="S44" s="80"/>
      <c r="T44" s="80"/>
      <c r="U44" s="80"/>
      <c r="V44" s="80"/>
      <c r="W44" s="79"/>
      <c r="X44" s="80"/>
      <c r="Y44" s="79"/>
      <c r="Z44" s="39"/>
      <c r="AA44" s="39"/>
      <c r="AB44" s="39"/>
    </row>
    <row r="45" spans="1:28">
      <c r="A45" s="154">
        <v>3</v>
      </c>
      <c r="B45" s="169" t="s">
        <v>122</v>
      </c>
      <c r="C45" s="52" t="s">
        <v>127</v>
      </c>
      <c r="D45" s="52" t="s">
        <v>130</v>
      </c>
      <c r="E45" s="52">
        <v>770</v>
      </c>
      <c r="F45" s="80">
        <v>119.18963008915976</v>
      </c>
      <c r="G45" s="80">
        <v>104.52531658147085</v>
      </c>
      <c r="H45" s="80">
        <v>98.058075979043565</v>
      </c>
      <c r="I45" s="80">
        <v>120.15472268655201</v>
      </c>
      <c r="J45" s="80">
        <f t="shared" si="9"/>
        <v>110.48193633405656</v>
      </c>
      <c r="K45" s="170">
        <f t="shared" si="10"/>
        <v>40.865825543820364</v>
      </c>
      <c r="L45" s="135"/>
      <c r="M45" s="135"/>
      <c r="N45" s="135"/>
      <c r="O45" s="135"/>
      <c r="P45" s="135"/>
      <c r="Q45" s="136"/>
      <c r="R45" s="26">
        <v>3</v>
      </c>
      <c r="S45" s="79" t="s">
        <v>156</v>
      </c>
      <c r="T45" s="79">
        <v>2</v>
      </c>
      <c r="U45" s="79">
        <f>3*((E55-$K$52)^2+(E56-$K$52)^2+(E57-$K$52)^2)</f>
        <v>2.3860906892935745</v>
      </c>
      <c r="V45" s="79">
        <f>U45/T45</f>
        <v>1.1930453446467872</v>
      </c>
      <c r="W45" s="79">
        <f>V45/$W$49</f>
        <v>1.1400306092030865</v>
      </c>
      <c r="X45" s="82">
        <f>FDIST(W45,2,8)</f>
        <v>0.36675592973930637</v>
      </c>
      <c r="Y45" s="79">
        <f>100*U45/$U$51</f>
        <v>18.417122711049785</v>
      </c>
      <c r="Z45" s="78"/>
      <c r="AA45" s="39"/>
      <c r="AB45" s="39"/>
    </row>
    <row r="46" spans="1:28">
      <c r="A46" s="154">
        <v>4</v>
      </c>
      <c r="B46" s="169" t="s">
        <v>123</v>
      </c>
      <c r="C46" s="52" t="s">
        <v>125</v>
      </c>
      <c r="D46" s="52" t="s">
        <v>129</v>
      </c>
      <c r="E46" s="52">
        <v>770</v>
      </c>
      <c r="F46" s="80">
        <v>98.836736186237871</v>
      </c>
      <c r="G46" s="80">
        <v>86.401248082828218</v>
      </c>
      <c r="H46" s="80">
        <v>65.421048585453917</v>
      </c>
      <c r="I46" s="80">
        <v>70.721269595532988</v>
      </c>
      <c r="J46" s="80">
        <f t="shared" si="9"/>
        <v>80.345075612513256</v>
      </c>
      <c r="K46" s="170">
        <f t="shared" si="10"/>
        <v>38.099185276038327</v>
      </c>
      <c r="L46" s="135"/>
      <c r="M46" s="135"/>
      <c r="N46" s="135"/>
      <c r="O46" s="135"/>
      <c r="P46" s="135"/>
      <c r="Q46" s="136"/>
      <c r="R46" s="26">
        <v>1</v>
      </c>
      <c r="S46" s="98" t="s">
        <v>157</v>
      </c>
      <c r="T46" s="79">
        <v>2</v>
      </c>
      <c r="U46" s="79">
        <f>3*((F55-$K$52)^2+(F56-$K$52)^2+(F57-$K$52)^2)</f>
        <v>5.1894069779819212</v>
      </c>
      <c r="V46" s="79">
        <f>U46/T46</f>
        <v>2.5947034889909606</v>
      </c>
      <c r="W46" s="79">
        <f t="shared" ref="W46:W47" si="11">V46/$W$49</f>
        <v>2.4794039996287784</v>
      </c>
      <c r="X46" s="82">
        <f t="shared" ref="X46:X47" si="12">FDIST(W46,2,8)</f>
        <v>0.14524451033338051</v>
      </c>
      <c r="Y46" s="79">
        <f t="shared" ref="Y46:Y51" si="13">100*U46/$U$51</f>
        <v>40.054615501377555</v>
      </c>
      <c r="Z46" s="78"/>
      <c r="AA46" s="39"/>
      <c r="AB46" s="39"/>
    </row>
    <row r="47" spans="1:28">
      <c r="A47" s="154">
        <v>5</v>
      </c>
      <c r="B47" s="169" t="s">
        <v>123</v>
      </c>
      <c r="C47" s="52" t="s">
        <v>126</v>
      </c>
      <c r="D47" s="52" t="s">
        <v>130</v>
      </c>
      <c r="E47" s="52">
        <v>690</v>
      </c>
      <c r="F47" s="80">
        <v>120.64776899274337</v>
      </c>
      <c r="G47" s="80">
        <v>123.22828007990023</v>
      </c>
      <c r="H47" s="80">
        <v>120.01503862146882</v>
      </c>
      <c r="I47" s="80"/>
      <c r="J47" s="80">
        <f t="shared" si="9"/>
        <v>121.2970292313708</v>
      </c>
      <c r="K47" s="170">
        <f t="shared" si="10"/>
        <v>41.677003287863698</v>
      </c>
      <c r="L47" s="135"/>
      <c r="M47" s="135"/>
      <c r="N47" s="135"/>
      <c r="O47" s="135"/>
      <c r="P47" s="135"/>
      <c r="Q47" s="136"/>
      <c r="R47" s="26">
        <v>2</v>
      </c>
      <c r="S47" s="79" t="s">
        <v>152</v>
      </c>
      <c r="T47" s="79">
        <v>2</v>
      </c>
      <c r="U47" s="79">
        <f>3*((G55-$K$52)^2+(G56-$K$52)^2+(G57-$K$52)^2)</f>
        <v>3.6050412208162457</v>
      </c>
      <c r="V47" s="79">
        <f>U47/T47</f>
        <v>1.8025206104081228</v>
      </c>
      <c r="W47" s="79">
        <f t="shared" si="11"/>
        <v>1.7224229395849773</v>
      </c>
      <c r="X47" s="82">
        <f t="shared" si="12"/>
        <v>0.2387372315061714</v>
      </c>
      <c r="Y47" s="79">
        <f t="shared" si="13"/>
        <v>27.825634138751976</v>
      </c>
      <c r="Z47" s="78"/>
      <c r="AA47" s="39"/>
      <c r="AB47" s="39"/>
    </row>
    <row r="48" spans="1:28">
      <c r="A48" s="154">
        <v>6</v>
      </c>
      <c r="B48" s="169" t="s">
        <v>123</v>
      </c>
      <c r="C48" s="52" t="s">
        <v>127</v>
      </c>
      <c r="D48" s="52" t="s">
        <v>128</v>
      </c>
      <c r="E48" s="52">
        <v>730</v>
      </c>
      <c r="F48" s="80">
        <v>96.422449912752015</v>
      </c>
      <c r="G48" s="80"/>
      <c r="H48" s="80"/>
      <c r="I48" s="80"/>
      <c r="J48" s="80">
        <f t="shared" si="9"/>
        <v>96.422449912752015</v>
      </c>
      <c r="K48" s="170">
        <f t="shared" si="10"/>
        <v>39.683563237831343</v>
      </c>
      <c r="L48" s="135"/>
      <c r="M48" s="135"/>
      <c r="N48" s="135"/>
      <c r="O48" s="135"/>
      <c r="P48" s="135"/>
      <c r="Q48" s="136"/>
      <c r="S48" s="80"/>
      <c r="T48" s="80"/>
      <c r="U48" s="80"/>
      <c r="V48" s="80"/>
      <c r="W48" s="80"/>
      <c r="X48" s="80"/>
      <c r="Y48" s="79"/>
      <c r="Z48" s="78"/>
      <c r="AA48" s="39"/>
      <c r="AB48" s="39"/>
    </row>
    <row r="49" spans="1:28">
      <c r="A49" s="154">
        <v>7</v>
      </c>
      <c r="B49" s="169" t="s">
        <v>124</v>
      </c>
      <c r="C49" s="52" t="s">
        <v>125</v>
      </c>
      <c r="D49" s="52" t="s">
        <v>130</v>
      </c>
      <c r="E49" s="52">
        <v>730</v>
      </c>
      <c r="F49" s="80">
        <v>76.794968905468693</v>
      </c>
      <c r="G49" s="80">
        <v>83.405573509593097</v>
      </c>
      <c r="H49" s="80">
        <v>79.950926531720839</v>
      </c>
      <c r="I49" s="80"/>
      <c r="J49" s="80">
        <f t="shared" si="9"/>
        <v>80.050489648927552</v>
      </c>
      <c r="K49" s="170">
        <f t="shared" si="10"/>
        <v>38.067279854694611</v>
      </c>
      <c r="L49" s="135"/>
      <c r="M49" s="135"/>
      <c r="N49" s="135"/>
      <c r="O49" s="135"/>
      <c r="P49" s="135"/>
      <c r="Q49" s="136"/>
      <c r="R49" s="26">
        <v>4</v>
      </c>
      <c r="S49" s="99" t="s">
        <v>203</v>
      </c>
      <c r="T49" s="79">
        <v>2</v>
      </c>
      <c r="U49" s="79">
        <f>3*((D55-$K$52)^2+(D56-$K$52)^2+(D57-$K$52)^2)</f>
        <v>1.7752888311968074</v>
      </c>
      <c r="V49" s="79">
        <f>U49/T49</f>
        <v>0.88764441559840368</v>
      </c>
      <c r="W49" s="79">
        <f>V49/$V$8</f>
        <v>1.0465029052866919</v>
      </c>
      <c r="X49" s="79"/>
      <c r="Y49" s="79">
        <f t="shared" si="13"/>
        <v>13.702627648820688</v>
      </c>
      <c r="Z49" s="39"/>
      <c r="AA49" s="39"/>
      <c r="AB49" s="39"/>
    </row>
    <row r="50" spans="1:28">
      <c r="A50" s="154">
        <v>8</v>
      </c>
      <c r="B50" s="169" t="s">
        <v>124</v>
      </c>
      <c r="C50" s="52" t="s">
        <v>126</v>
      </c>
      <c r="D50" s="52" t="s">
        <v>128</v>
      </c>
      <c r="E50" s="52">
        <v>770</v>
      </c>
      <c r="F50" s="80">
        <v>88.113463303471491</v>
      </c>
      <c r="G50" s="80">
        <v>100.2487673796267</v>
      </c>
      <c r="H50" s="80">
        <v>91.275542414286775</v>
      </c>
      <c r="I50" s="80"/>
      <c r="J50" s="80">
        <f t="shared" si="9"/>
        <v>93.21259103246166</v>
      </c>
      <c r="K50" s="170">
        <f t="shared" si="10"/>
        <v>39.389491604715523</v>
      </c>
      <c r="L50" s="135"/>
      <c r="M50" s="135"/>
      <c r="N50" s="135"/>
      <c r="O50" s="135"/>
      <c r="P50" s="135"/>
      <c r="Q50" s="136"/>
      <c r="S50" s="80"/>
      <c r="T50" s="80"/>
      <c r="U50" s="80"/>
      <c r="V50" s="79"/>
      <c r="W50" s="79"/>
      <c r="X50" s="79"/>
      <c r="Y50" s="79"/>
      <c r="Z50" s="39"/>
      <c r="AA50" s="39"/>
      <c r="AB50" s="39"/>
    </row>
    <row r="51" spans="1:28" ht="15.75" thickBot="1">
      <c r="A51" s="156">
        <v>9</v>
      </c>
      <c r="B51" s="171" t="s">
        <v>124</v>
      </c>
      <c r="C51" s="172" t="s">
        <v>127</v>
      </c>
      <c r="D51" s="172" t="s">
        <v>129</v>
      </c>
      <c r="E51" s="172">
        <v>690</v>
      </c>
      <c r="F51" s="92">
        <v>87.469087837761876</v>
      </c>
      <c r="G51" s="92">
        <v>86.864385218446927</v>
      </c>
      <c r="H51" s="92">
        <v>91.275542414286775</v>
      </c>
      <c r="I51" s="92"/>
      <c r="J51" s="92">
        <f t="shared" si="9"/>
        <v>88.536338490165193</v>
      </c>
      <c r="K51" s="173">
        <f t="shared" si="10"/>
        <v>38.942431146532243</v>
      </c>
      <c r="L51" s="135"/>
      <c r="M51" s="135"/>
      <c r="N51" s="135"/>
      <c r="O51" s="135"/>
      <c r="P51" s="135"/>
      <c r="Q51" s="136"/>
      <c r="S51" s="98" t="s">
        <v>159</v>
      </c>
      <c r="T51" s="79">
        <v>8</v>
      </c>
      <c r="U51" s="79">
        <f>SUM(U44:U49)</f>
        <v>12.955827719288548</v>
      </c>
      <c r="V51" s="80"/>
      <c r="W51" s="80"/>
      <c r="X51" s="80"/>
      <c r="Y51" s="79">
        <f t="shared" si="13"/>
        <v>100</v>
      </c>
      <c r="Z51" s="39"/>
      <c r="AA51" s="39"/>
      <c r="AB51" s="39"/>
    </row>
    <row r="52" spans="1:28" ht="15.75" thickBot="1">
      <c r="A52" s="134"/>
      <c r="B52" s="135"/>
      <c r="C52" s="135"/>
      <c r="D52" s="135"/>
      <c r="E52" s="135"/>
      <c r="F52" s="135"/>
      <c r="G52" s="135"/>
      <c r="H52" s="135"/>
      <c r="I52" s="135"/>
      <c r="J52" s="135"/>
      <c r="K52" s="93">
        <f>AVERAGE(K43:K51)</f>
        <v>39.418894673367653</v>
      </c>
      <c r="L52" s="135"/>
      <c r="M52" s="135"/>
      <c r="N52" s="135"/>
      <c r="O52" s="135"/>
      <c r="P52" s="135"/>
      <c r="Q52" s="136"/>
      <c r="Z52" s="39"/>
      <c r="AA52" s="39"/>
      <c r="AB52" s="39"/>
    </row>
    <row r="53" spans="1:28" ht="15.75" thickBot="1">
      <c r="A53" s="134"/>
      <c r="B53" s="135"/>
      <c r="C53" s="135"/>
      <c r="D53" s="174" t="s">
        <v>116</v>
      </c>
      <c r="E53" s="174" t="s">
        <v>116</v>
      </c>
      <c r="F53" s="174" t="s">
        <v>119</v>
      </c>
      <c r="G53" s="140" t="s">
        <v>121</v>
      </c>
      <c r="H53" s="135"/>
      <c r="I53" s="135"/>
      <c r="J53" s="135"/>
      <c r="K53" s="135"/>
      <c r="L53" s="135"/>
      <c r="M53" s="135"/>
      <c r="N53" s="135"/>
      <c r="O53" s="135"/>
      <c r="P53" s="135"/>
      <c r="Q53" s="136"/>
      <c r="Z53" s="39"/>
      <c r="AA53" s="39"/>
      <c r="AB53" s="39"/>
    </row>
    <row r="54" spans="1:28" ht="15.75" thickBot="1">
      <c r="A54" s="134"/>
      <c r="B54" s="135"/>
      <c r="C54" s="35" t="s">
        <v>144</v>
      </c>
      <c r="D54" s="145" t="s">
        <v>117</v>
      </c>
      <c r="E54" s="175" t="s">
        <v>118</v>
      </c>
      <c r="F54" s="175" t="s">
        <v>120</v>
      </c>
      <c r="G54" s="145"/>
      <c r="H54" s="135"/>
      <c r="I54" s="135"/>
      <c r="J54" s="135"/>
      <c r="K54" s="135"/>
      <c r="L54" s="135"/>
      <c r="M54" s="135"/>
      <c r="N54" s="135"/>
      <c r="O54" s="135"/>
      <c r="P54" s="135"/>
      <c r="Q54" s="136"/>
      <c r="S54" s="26" t="s">
        <v>166</v>
      </c>
      <c r="T54" s="26" t="s">
        <v>167</v>
      </c>
    </row>
    <row r="55" spans="1:28">
      <c r="A55" s="134"/>
      <c r="B55" s="135"/>
      <c r="C55" s="154">
        <v>1</v>
      </c>
      <c r="D55" s="49">
        <f>AVERAGE(K43:K45)</f>
        <v>39.637032550877699</v>
      </c>
      <c r="E55" s="50">
        <f>AVERAGE(K43,K46,K49)</f>
        <v>38.692892822354771</v>
      </c>
      <c r="F55" s="50">
        <f>AVERAGE(K43,K48,K50)</f>
        <v>39.661756059626079</v>
      </c>
      <c r="G55" s="50">
        <f>AVERAGE(K43,K47,K51)</f>
        <v>40.17721592357578</v>
      </c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S55" s="26">
        <f>(K43-$K$15)^2</f>
        <v>6.2856674777285626</v>
      </c>
      <c r="T55" s="26">
        <f>K43^2</f>
        <v>1592.9847734048294</v>
      </c>
      <c r="U55" s="26">
        <f>T55-$V$55</f>
        <v>-12391.658542025647</v>
      </c>
      <c r="V55" s="43">
        <f>((SUM(K43:K51))^2)/9</f>
        <v>13984.643315430476</v>
      </c>
      <c r="W55" s="26">
        <f>SUM(U44:U47)</f>
        <v>11.180538888091741</v>
      </c>
      <c r="X55" s="26">
        <f t="shared" ref="X55:X63" si="14">(K43-$K$52)^2</f>
        <v>0.24336330322832975</v>
      </c>
    </row>
    <row r="56" spans="1:28">
      <c r="A56" s="134"/>
      <c r="B56" s="135"/>
      <c r="C56" s="154">
        <v>2</v>
      </c>
      <c r="D56" s="51">
        <f>AVERAGE(K46:K48)</f>
        <v>39.819917267244456</v>
      </c>
      <c r="E56" s="52">
        <f>AVERAGE(K44,K47,K50)</f>
        <v>39.733184555020188</v>
      </c>
      <c r="F56" s="52">
        <f>AVERAGE(K44,K46,K51)</f>
        <v>38.391558398350639</v>
      </c>
      <c r="G56" s="52">
        <f>AVERAGE(K44,K48,K49)</f>
        <v>38.627967288335761</v>
      </c>
      <c r="H56" s="135"/>
      <c r="I56" s="135"/>
      <c r="J56" s="135"/>
      <c r="K56" s="135"/>
      <c r="L56" s="135"/>
      <c r="M56" s="135"/>
      <c r="N56" s="135"/>
      <c r="O56" s="135"/>
      <c r="P56" s="135"/>
      <c r="Q56" s="136"/>
      <c r="S56" s="26">
        <f t="shared" ref="S56:S63" si="15">(K45-$K$15)^2</f>
        <v>2.4133968609913814</v>
      </c>
      <c r="T56" s="26">
        <f t="shared" ref="T56:T63" si="16">K44^2</f>
        <v>1454.1301713455161</v>
      </c>
      <c r="U56" s="26">
        <f t="shared" ref="U56:U63" si="17">T56-$V$55</f>
        <v>-12530.51314408496</v>
      </c>
      <c r="W56" s="151"/>
      <c r="X56" s="26">
        <f t="shared" si="14"/>
        <v>1.6533739640081131</v>
      </c>
    </row>
    <row r="57" spans="1:28">
      <c r="A57" s="134"/>
      <c r="B57" s="135"/>
      <c r="C57" s="154">
        <v>3</v>
      </c>
      <c r="D57" s="51">
        <f>AVERAGE(K49:K51)</f>
        <v>38.79973420198079</v>
      </c>
      <c r="E57" s="52">
        <f>AVERAGE(K45,K48,K51)</f>
        <v>39.830606642727986</v>
      </c>
      <c r="F57" s="52">
        <f>AVERAGE(K45,K47,K49)</f>
        <v>40.203369562126227</v>
      </c>
      <c r="G57" s="52">
        <f>AVERAGE(K45,K46,K50)</f>
        <v>39.451500808191405</v>
      </c>
      <c r="H57" s="135"/>
      <c r="I57" s="135"/>
      <c r="J57" s="135"/>
      <c r="K57" s="135"/>
      <c r="L57" s="135"/>
      <c r="M57" s="135"/>
      <c r="N57" s="135"/>
      <c r="O57" s="135"/>
      <c r="P57" s="135"/>
      <c r="Q57" s="136"/>
      <c r="S57" s="26">
        <f t="shared" si="15"/>
        <v>18.663708183066767</v>
      </c>
      <c r="T57" s="26">
        <f t="shared" si="16"/>
        <v>1670.015697377961</v>
      </c>
      <c r="U57" s="26">
        <f t="shared" si="17"/>
        <v>-12314.627618052515</v>
      </c>
      <c r="W57" s="26">
        <f t="shared" ref="W57:W66" si="18">K44^2</f>
        <v>1454.1301713455161</v>
      </c>
      <c r="X57" s="26">
        <f t="shared" si="14"/>
        <v>2.0936089438690395</v>
      </c>
    </row>
    <row r="58" spans="1:28" ht="15.75" thickBot="1">
      <c r="A58" s="134"/>
      <c r="B58" s="135"/>
      <c r="C58" s="155" t="s">
        <v>145</v>
      </c>
      <c r="D58" s="54">
        <f>MAX(D55:D57)-MIN(D55:D57)</f>
        <v>1.0201830652636659</v>
      </c>
      <c r="E58" s="55">
        <f t="shared" ref="E58:G58" si="19">MAX(E55:E57)-MIN(E55:E57)</f>
        <v>1.1377138203732144</v>
      </c>
      <c r="F58" s="55">
        <f t="shared" si="19"/>
        <v>1.8118111637755874</v>
      </c>
      <c r="G58" s="55">
        <f t="shared" si="19"/>
        <v>1.5492486352400192</v>
      </c>
      <c r="H58" s="135"/>
      <c r="I58" s="135"/>
      <c r="J58" s="135"/>
      <c r="K58" s="135"/>
      <c r="L58" s="135"/>
      <c r="M58" s="135"/>
      <c r="N58" s="135"/>
      <c r="O58" s="135"/>
      <c r="P58" s="135"/>
      <c r="Q58" s="136"/>
      <c r="S58" s="26">
        <f t="shared" si="15"/>
        <v>0.55105887022085198</v>
      </c>
      <c r="T58" s="26">
        <f t="shared" si="16"/>
        <v>1451.5479186978957</v>
      </c>
      <c r="U58" s="26">
        <f t="shared" si="17"/>
        <v>-12533.09539673258</v>
      </c>
      <c r="W58" s="26">
        <f t="shared" si="18"/>
        <v>1670.015697377961</v>
      </c>
      <c r="X58" s="26">
        <f t="shared" si="14"/>
        <v>1.7416328933993337</v>
      </c>
    </row>
    <row r="59" spans="1:28" ht="15.75" thickBot="1">
      <c r="A59" s="134"/>
      <c r="B59" s="135"/>
      <c r="C59" s="176" t="s">
        <v>146</v>
      </c>
      <c r="D59" s="146">
        <f>RANK(D58,D58:G58)</f>
        <v>4</v>
      </c>
      <c r="E59" s="146">
        <f>RANK(E58,D58:G58)</f>
        <v>3</v>
      </c>
      <c r="F59" s="146">
        <f>RANK(F58,D58:G58)</f>
        <v>1</v>
      </c>
      <c r="G59" s="147">
        <f>RANK(G58,D58:G58)</f>
        <v>2</v>
      </c>
      <c r="H59" s="135"/>
      <c r="I59" s="135"/>
      <c r="J59" s="135"/>
      <c r="K59" s="135"/>
      <c r="L59" s="135"/>
      <c r="M59" s="135"/>
      <c r="N59" s="135"/>
      <c r="O59" s="135"/>
      <c r="P59" s="135"/>
      <c r="Q59" s="136"/>
      <c r="S59" s="26">
        <f t="shared" si="15"/>
        <v>7.4844563458191145</v>
      </c>
      <c r="T59" s="26">
        <f t="shared" si="16"/>
        <v>1736.9726030566014</v>
      </c>
      <c r="U59" s="26">
        <f t="shared" si="17"/>
        <v>-12247.670712373874</v>
      </c>
      <c r="W59" s="26">
        <f t="shared" si="18"/>
        <v>1451.5479186978957</v>
      </c>
      <c r="X59" s="26">
        <f t="shared" si="14"/>
        <v>5.0990545148612485</v>
      </c>
    </row>
    <row r="60" spans="1:28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6"/>
      <c r="S60" s="26">
        <f t="shared" si="15"/>
        <v>18.940398640822895</v>
      </c>
      <c r="T60" s="26">
        <f t="shared" si="16"/>
        <v>1574.7851912509593</v>
      </c>
      <c r="U60" s="26">
        <f t="shared" si="17"/>
        <v>-12409.858124179516</v>
      </c>
      <c r="W60" s="26">
        <f t="shared" si="18"/>
        <v>1736.9726030566014</v>
      </c>
      <c r="X60" s="26">
        <f t="shared" si="14"/>
        <v>7.0049449015270618E-2</v>
      </c>
    </row>
    <row r="61" spans="1:28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6"/>
      <c r="S61" s="26">
        <f t="shared" si="15"/>
        <v>9.1799612012056588</v>
      </c>
      <c r="T61" s="26">
        <f t="shared" si="16"/>
        <v>1449.1177955356382</v>
      </c>
      <c r="U61" s="26">
        <f t="shared" si="17"/>
        <v>-12535.525519894838</v>
      </c>
      <c r="W61" s="26">
        <f t="shared" si="18"/>
        <v>1574.7851912509593</v>
      </c>
      <c r="X61" s="26">
        <f t="shared" si="14"/>
        <v>1.8268626180565599</v>
      </c>
    </row>
    <row r="62" spans="1:28">
      <c r="A62" s="134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6"/>
      <c r="S62" s="26">
        <f t="shared" si="15"/>
        <v>12.088872112734427</v>
      </c>
      <c r="T62" s="26">
        <f t="shared" si="16"/>
        <v>1551.5320488779546</v>
      </c>
      <c r="U62" s="26">
        <f t="shared" si="17"/>
        <v>-12433.111266552522</v>
      </c>
      <c r="W62" s="26">
        <f t="shared" si="18"/>
        <v>1449.1177955356382</v>
      </c>
      <c r="X62" s="26">
        <f t="shared" si="14"/>
        <v>8.6454044616184663E-4</v>
      </c>
    </row>
    <row r="63" spans="1:28">
      <c r="A63" s="134"/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6"/>
      <c r="S63" s="26">
        <f t="shared" si="15"/>
        <v>9.0026522559404079</v>
      </c>
      <c r="T63" s="26">
        <f t="shared" si="16"/>
        <v>1516.5129436024047</v>
      </c>
      <c r="U63" s="26">
        <f t="shared" si="17"/>
        <v>-12468.130371828071</v>
      </c>
      <c r="W63" s="26">
        <f t="shared" si="18"/>
        <v>1551.5320488779546</v>
      </c>
      <c r="X63" s="26">
        <f t="shared" si="14"/>
        <v>0.2270174924044373</v>
      </c>
    </row>
    <row r="64" spans="1:28">
      <c r="A64" s="134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6"/>
      <c r="S64" s="58">
        <f>SUM(S55:S63)/9</f>
        <v>9.4011302165033399</v>
      </c>
      <c r="T64" s="58">
        <f>SUM(T55:T63)</f>
        <v>13997.59914314976</v>
      </c>
      <c r="U64" s="58">
        <f>SUM(U55:U63)</f>
        <v>-111864.19069572454</v>
      </c>
      <c r="W64" s="26">
        <f t="shared" si="18"/>
        <v>1516.5129436024047</v>
      </c>
      <c r="X64" s="151">
        <f>SUM(X55:X63)</f>
        <v>12.955827719288495</v>
      </c>
    </row>
    <row r="65" spans="1:25">
      <c r="A65" s="134"/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6"/>
      <c r="W65" s="26">
        <f t="shared" si="18"/>
        <v>1553.8492572700527</v>
      </c>
    </row>
    <row r="66" spans="1:25">
      <c r="A66" s="134"/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6"/>
      <c r="W66" s="26">
        <f t="shared" si="18"/>
        <v>0</v>
      </c>
    </row>
    <row r="67" spans="1:25">
      <c r="A67" s="134"/>
      <c r="B67" s="135"/>
      <c r="C67" s="135"/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6"/>
      <c r="W67" s="151">
        <f>SUM(W57:W66)</f>
        <v>13958.463627014984</v>
      </c>
    </row>
    <row r="68" spans="1:25">
      <c r="A68" s="134"/>
      <c r="B68" s="135"/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6"/>
    </row>
    <row r="69" spans="1:25">
      <c r="A69" s="134"/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6"/>
    </row>
    <row r="70" spans="1:25">
      <c r="A70" s="134"/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6"/>
    </row>
    <row r="71" spans="1:25">
      <c r="A71" s="134"/>
      <c r="B71" s="135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6"/>
    </row>
    <row r="72" spans="1:25">
      <c r="A72" s="134"/>
      <c r="B72" s="135"/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6"/>
    </row>
    <row r="73" spans="1:25">
      <c r="A73" s="134"/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6"/>
    </row>
    <row r="74" spans="1:25">
      <c r="A74" s="134"/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6"/>
    </row>
    <row r="75" spans="1:25" ht="15.75" thickBot="1">
      <c r="A75" s="159"/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1"/>
    </row>
    <row r="76" spans="1:25">
      <c r="A76" s="131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3"/>
      <c r="S76" s="26" t="s">
        <v>154</v>
      </c>
    </row>
    <row r="77" spans="1:25" ht="15.75" thickBot="1">
      <c r="A77" s="134"/>
      <c r="B77" s="135"/>
      <c r="C77" s="135"/>
      <c r="D77" s="135"/>
      <c r="E77" s="202" t="s">
        <v>108</v>
      </c>
      <c r="F77" s="202"/>
      <c r="G77" s="202"/>
      <c r="H77" s="202"/>
      <c r="I77" s="177"/>
      <c r="J77" s="135"/>
      <c r="K77" s="135"/>
      <c r="L77" s="135"/>
      <c r="M77" s="135"/>
      <c r="N77" s="135"/>
      <c r="O77" s="135"/>
      <c r="P77" s="135"/>
      <c r="Q77" s="136"/>
      <c r="S77" s="203" t="s">
        <v>108</v>
      </c>
      <c r="T77" s="204"/>
      <c r="U77" s="204"/>
      <c r="V77" s="204"/>
      <c r="W77" s="204"/>
      <c r="X77" s="204"/>
      <c r="Y77" s="205"/>
    </row>
    <row r="78" spans="1:25" ht="15.75" thickBot="1">
      <c r="A78" s="134"/>
      <c r="B78" s="135"/>
      <c r="C78" s="163" t="s">
        <v>116</v>
      </c>
      <c r="D78" s="163" t="s">
        <v>116</v>
      </c>
      <c r="E78" s="163" t="s">
        <v>119</v>
      </c>
      <c r="F78" s="163" t="s">
        <v>121</v>
      </c>
      <c r="G78" s="174" t="s">
        <v>140</v>
      </c>
      <c r="H78" s="140"/>
      <c r="I78" s="43"/>
      <c r="J78" s="135"/>
      <c r="K78" s="135"/>
      <c r="L78" s="135"/>
      <c r="M78" s="135"/>
      <c r="N78" s="135"/>
      <c r="O78" s="135"/>
      <c r="P78" s="135"/>
      <c r="Q78" s="136"/>
      <c r="R78" s="141" t="s">
        <v>146</v>
      </c>
      <c r="S78" s="142" t="s">
        <v>155</v>
      </c>
      <c r="T78" s="142" t="s">
        <v>160</v>
      </c>
      <c r="U78" s="142" t="s">
        <v>161</v>
      </c>
      <c r="V78" s="142" t="s">
        <v>168</v>
      </c>
      <c r="W78" s="142" t="s">
        <v>235</v>
      </c>
      <c r="X78" s="142" t="s">
        <v>234</v>
      </c>
      <c r="Y78" s="142" t="s">
        <v>236</v>
      </c>
    </row>
    <row r="79" spans="1:25" ht="15.75" thickBot="1">
      <c r="A79" s="134"/>
      <c r="B79" s="162" t="s">
        <v>115</v>
      </c>
      <c r="C79" s="148" t="s">
        <v>117</v>
      </c>
      <c r="D79" s="148" t="s">
        <v>118</v>
      </c>
      <c r="E79" s="148" t="s">
        <v>120</v>
      </c>
      <c r="F79" s="148"/>
      <c r="G79" s="148"/>
      <c r="H79" s="178" t="s">
        <v>134</v>
      </c>
      <c r="I79" s="135"/>
      <c r="J79" s="135"/>
      <c r="K79" s="135"/>
      <c r="L79" s="135"/>
      <c r="M79" s="135"/>
      <c r="N79" s="135"/>
      <c r="O79" s="135"/>
      <c r="P79" s="135"/>
      <c r="Q79" s="136"/>
      <c r="S79" s="80"/>
      <c r="T79" s="80"/>
      <c r="U79" s="80"/>
      <c r="V79" s="80"/>
      <c r="W79" s="80"/>
      <c r="X79" s="80"/>
      <c r="Y79" s="80"/>
    </row>
    <row r="80" spans="1:25">
      <c r="A80" s="134"/>
      <c r="B80" s="134">
        <v>1</v>
      </c>
      <c r="C80" s="167" t="s">
        <v>122</v>
      </c>
      <c r="D80" s="168" t="s">
        <v>125</v>
      </c>
      <c r="E80" s="168" t="s">
        <v>128</v>
      </c>
      <c r="F80" s="168">
        <v>690</v>
      </c>
      <c r="G80" s="90">
        <v>1</v>
      </c>
      <c r="H80" s="91">
        <f>-10*LOG10((1/(G80^2)))</f>
        <v>0</v>
      </c>
      <c r="I80" s="135"/>
      <c r="J80" s="135"/>
      <c r="K80" s="135"/>
      <c r="L80" s="135"/>
      <c r="M80" s="135"/>
      <c r="N80" s="135"/>
      <c r="O80" s="135"/>
      <c r="P80" s="135"/>
      <c r="Q80" s="136"/>
      <c r="S80" s="80"/>
      <c r="T80" s="80"/>
      <c r="U80" s="80"/>
      <c r="V80" s="80"/>
      <c r="W80" s="79"/>
      <c r="X80" s="80"/>
      <c r="Y80" s="79"/>
    </row>
    <row r="81" spans="1:25">
      <c r="A81" s="134"/>
      <c r="B81" s="134">
        <v>2</v>
      </c>
      <c r="C81" s="169" t="s">
        <v>122</v>
      </c>
      <c r="D81" s="52" t="s">
        <v>126</v>
      </c>
      <c r="E81" s="52" t="s">
        <v>129</v>
      </c>
      <c r="F81" s="52">
        <v>730</v>
      </c>
      <c r="G81" s="80">
        <v>0.8</v>
      </c>
      <c r="H81" s="170">
        <f t="shared" ref="H81:H88" si="20">-10*LOG10((1/(G81^2)))</f>
        <v>-1.9382002601611275</v>
      </c>
      <c r="I81" s="135"/>
      <c r="J81" s="135"/>
      <c r="K81" s="135"/>
      <c r="L81" s="135"/>
      <c r="M81" s="135"/>
      <c r="N81" s="135"/>
      <c r="O81" s="135"/>
      <c r="P81" s="135"/>
      <c r="Q81" s="136"/>
      <c r="R81" s="26" t="s">
        <v>146</v>
      </c>
    </row>
    <row r="82" spans="1:25">
      <c r="A82" s="134"/>
      <c r="B82" s="134">
        <v>3</v>
      </c>
      <c r="C82" s="169" t="s">
        <v>122</v>
      </c>
      <c r="D82" s="52" t="s">
        <v>127</v>
      </c>
      <c r="E82" s="52" t="s">
        <v>130</v>
      </c>
      <c r="F82" s="52">
        <v>770</v>
      </c>
      <c r="G82" s="80">
        <v>0.5</v>
      </c>
      <c r="H82" s="170">
        <f t="shared" si="20"/>
        <v>-6.0205999132796242</v>
      </c>
      <c r="I82" s="135"/>
      <c r="J82" s="135"/>
      <c r="K82" s="135"/>
      <c r="L82" s="135"/>
      <c r="M82" s="135"/>
      <c r="N82" s="135"/>
      <c r="O82" s="135"/>
      <c r="P82" s="135"/>
      <c r="Q82" s="136"/>
      <c r="R82" s="26">
        <v>3</v>
      </c>
      <c r="S82" s="98" t="s">
        <v>157</v>
      </c>
      <c r="T82" s="79">
        <v>2</v>
      </c>
      <c r="U82" s="79">
        <f>3*((E92-$H$89)^2+(E93-$H$89)^2+(E94-$H$89)^2)</f>
        <v>80.380800706135886</v>
      </c>
      <c r="V82" s="79">
        <f>U82/T82</f>
        <v>40.190400353067943</v>
      </c>
      <c r="W82" s="79">
        <f>V82/$V$86</f>
        <v>2.8842747808296432</v>
      </c>
      <c r="X82" s="82">
        <f>FDIST(W82,2,2)</f>
        <v>0.25744831568895171</v>
      </c>
      <c r="Y82" s="79" t="e">
        <f>100*#REF!/$U$87</f>
        <v>#REF!</v>
      </c>
    </row>
    <row r="83" spans="1:25">
      <c r="A83" s="134"/>
      <c r="B83" s="134">
        <v>4</v>
      </c>
      <c r="C83" s="169" t="s">
        <v>123</v>
      </c>
      <c r="D83" s="52" t="s">
        <v>125</v>
      </c>
      <c r="E83" s="52" t="s">
        <v>129</v>
      </c>
      <c r="F83" s="52">
        <v>770</v>
      </c>
      <c r="G83" s="80">
        <v>0.1</v>
      </c>
      <c r="H83" s="170">
        <f t="shared" si="20"/>
        <v>-20</v>
      </c>
      <c r="I83" s="135"/>
      <c r="J83" s="135"/>
      <c r="K83" s="135"/>
      <c r="L83" s="135"/>
      <c r="M83" s="135"/>
      <c r="N83" s="135"/>
      <c r="O83" s="135"/>
      <c r="P83" s="135"/>
      <c r="Q83" s="136"/>
      <c r="R83" s="26">
        <v>2</v>
      </c>
      <c r="S83" s="79" t="s">
        <v>152</v>
      </c>
      <c r="T83" s="79">
        <v>2</v>
      </c>
      <c r="U83" s="79">
        <f>3*((F92-$H$89)^2+(F93-$H$89)^2+(F94-$H$89)^2)</f>
        <v>82.540580231317051</v>
      </c>
      <c r="V83" s="79">
        <f>U83/T83</f>
        <v>41.270290115658526</v>
      </c>
      <c r="W83" s="79">
        <f t="shared" ref="W83:W84" si="21">V83/$V$86</f>
        <v>2.9617733571302987</v>
      </c>
      <c r="X83" s="82">
        <f t="shared" ref="X83:X84" si="22">FDIST(W83,2,2)</f>
        <v>0.25241221792707796</v>
      </c>
      <c r="Y83" s="79" t="e">
        <f>100*#REF!/$U$87</f>
        <v>#REF!</v>
      </c>
    </row>
    <row r="84" spans="1:25">
      <c r="A84" s="134"/>
      <c r="B84" s="134">
        <v>5</v>
      </c>
      <c r="C84" s="169" t="s">
        <v>123</v>
      </c>
      <c r="D84" s="52" t="s">
        <v>126</v>
      </c>
      <c r="E84" s="52" t="s">
        <v>130</v>
      </c>
      <c r="F84" s="52">
        <v>690</v>
      </c>
      <c r="G84" s="80">
        <v>0.5</v>
      </c>
      <c r="H84" s="170">
        <f t="shared" si="20"/>
        <v>-6.0205999132796242</v>
      </c>
      <c r="I84" s="135"/>
      <c r="J84" s="135"/>
      <c r="K84" s="135"/>
      <c r="L84" s="135"/>
      <c r="M84" s="135"/>
      <c r="N84" s="135"/>
      <c r="O84" s="135"/>
      <c r="P84" s="135"/>
      <c r="Q84" s="136"/>
      <c r="R84" s="26">
        <v>1</v>
      </c>
      <c r="S84" s="99" t="s">
        <v>207</v>
      </c>
      <c r="T84" s="79">
        <v>2</v>
      </c>
      <c r="U84" s="79">
        <f>3*((C92-$H$89)^2+(C93-$H$89)^2+(C94-$H$89)^2)</f>
        <v>123.70213812919451</v>
      </c>
      <c r="V84" s="79">
        <f>U84/T84</f>
        <v>61.851069064597255</v>
      </c>
      <c r="W84" s="79">
        <f t="shared" si="21"/>
        <v>4.4387584374175688</v>
      </c>
      <c r="X84" s="82">
        <f t="shared" si="22"/>
        <v>0.18386549274148026</v>
      </c>
      <c r="Y84" s="79" t="e">
        <f>100*#REF!/$U$87</f>
        <v>#REF!</v>
      </c>
    </row>
    <row r="85" spans="1:25">
      <c r="A85" s="134"/>
      <c r="B85" s="134">
        <v>6</v>
      </c>
      <c r="C85" s="169" t="s">
        <v>123</v>
      </c>
      <c r="D85" s="52" t="s">
        <v>127</v>
      </c>
      <c r="E85" s="52" t="s">
        <v>128</v>
      </c>
      <c r="F85" s="52">
        <v>730</v>
      </c>
      <c r="G85" s="80">
        <v>0.8</v>
      </c>
      <c r="H85" s="170">
        <f t="shared" si="20"/>
        <v>-1.9382002601611275</v>
      </c>
      <c r="I85" s="135"/>
      <c r="J85" s="135"/>
      <c r="K85" s="135"/>
      <c r="L85" s="135"/>
      <c r="M85" s="135"/>
      <c r="N85" s="135"/>
      <c r="O85" s="135"/>
      <c r="P85" s="135"/>
      <c r="Q85" s="136"/>
    </row>
    <row r="86" spans="1:25">
      <c r="A86" s="134"/>
      <c r="B86" s="134">
        <v>7</v>
      </c>
      <c r="C86" s="169" t="s">
        <v>124</v>
      </c>
      <c r="D86" s="52" t="s">
        <v>125</v>
      </c>
      <c r="E86" s="52" t="s">
        <v>130</v>
      </c>
      <c r="F86" s="52">
        <v>730</v>
      </c>
      <c r="G86" s="80">
        <v>1</v>
      </c>
      <c r="H86" s="170">
        <f t="shared" si="20"/>
        <v>0</v>
      </c>
      <c r="I86" s="135"/>
      <c r="J86" s="135"/>
      <c r="K86" s="135"/>
      <c r="L86" s="135"/>
      <c r="M86" s="135"/>
      <c r="N86" s="135"/>
      <c r="O86" s="135"/>
      <c r="P86" s="135"/>
      <c r="Q86" s="136"/>
      <c r="R86" s="26">
        <v>4</v>
      </c>
      <c r="S86" s="52" t="s">
        <v>204</v>
      </c>
      <c r="T86" s="79">
        <v>2</v>
      </c>
      <c r="U86" s="79">
        <f>3*((D92-$H$89)^2+(D93-$H$89)^2+(D94-$H$89)^2)</f>
        <v>27.868634861139984</v>
      </c>
      <c r="V86" s="79">
        <f>U86/T86</f>
        <v>13.934317430569992</v>
      </c>
      <c r="W86" s="79"/>
      <c r="X86" s="82"/>
      <c r="Y86" s="79" t="e">
        <f>100-SUM(Y82:Y84)</f>
        <v>#REF!</v>
      </c>
    </row>
    <row r="87" spans="1:25">
      <c r="A87" s="134"/>
      <c r="B87" s="134">
        <v>8</v>
      </c>
      <c r="C87" s="169" t="s">
        <v>124</v>
      </c>
      <c r="D87" s="52" t="s">
        <v>126</v>
      </c>
      <c r="E87" s="52" t="s">
        <v>128</v>
      </c>
      <c r="F87" s="52">
        <v>770</v>
      </c>
      <c r="G87" s="80">
        <v>1</v>
      </c>
      <c r="H87" s="170">
        <f t="shared" si="20"/>
        <v>0</v>
      </c>
      <c r="I87" s="135"/>
      <c r="J87" s="135"/>
      <c r="K87" s="135"/>
      <c r="L87" s="135"/>
      <c r="M87" s="135"/>
      <c r="N87" s="135"/>
      <c r="O87" s="135"/>
      <c r="P87" s="135"/>
      <c r="Q87" s="136"/>
      <c r="S87" s="98" t="s">
        <v>159</v>
      </c>
      <c r="T87" s="79">
        <v>8</v>
      </c>
      <c r="U87" s="79">
        <f>SUM(U81:U86)</f>
        <v>314.4921539277874</v>
      </c>
      <c r="V87" s="80"/>
      <c r="W87" s="80"/>
      <c r="X87" s="80"/>
      <c r="Y87" s="52" t="e">
        <f>SUM(Y81:Y84)</f>
        <v>#REF!</v>
      </c>
    </row>
    <row r="88" spans="1:25" ht="15.75" thickBot="1">
      <c r="A88" s="134"/>
      <c r="B88" s="159">
        <v>9</v>
      </c>
      <c r="C88" s="171" t="s">
        <v>124</v>
      </c>
      <c r="D88" s="172" t="s">
        <v>127</v>
      </c>
      <c r="E88" s="172" t="s">
        <v>129</v>
      </c>
      <c r="F88" s="172">
        <v>690</v>
      </c>
      <c r="G88" s="92">
        <v>0.8</v>
      </c>
      <c r="H88" s="173">
        <f t="shared" si="20"/>
        <v>-1.9382002601611275</v>
      </c>
      <c r="I88" s="135"/>
      <c r="J88" s="135"/>
      <c r="K88" s="135"/>
      <c r="L88" s="135"/>
      <c r="M88" s="135"/>
      <c r="N88" s="135"/>
      <c r="O88" s="135"/>
      <c r="P88" s="135"/>
      <c r="Q88" s="136"/>
    </row>
    <row r="89" spans="1:25" ht="15.75" thickBot="1">
      <c r="A89" s="134"/>
      <c r="B89" s="135"/>
      <c r="C89" s="135"/>
      <c r="D89" s="135"/>
      <c r="E89" s="135"/>
      <c r="F89" s="135"/>
      <c r="G89" s="135"/>
      <c r="H89" s="93">
        <f>AVERAGE(H80:H88)</f>
        <v>-4.2062000674491804</v>
      </c>
      <c r="I89" s="135"/>
      <c r="J89" s="135"/>
      <c r="K89" s="135"/>
      <c r="L89" s="135"/>
      <c r="M89" s="135"/>
      <c r="N89" s="135"/>
      <c r="O89" s="135"/>
      <c r="P89" s="135"/>
      <c r="Q89" s="136"/>
    </row>
    <row r="90" spans="1:25" ht="15.75" thickBot="1">
      <c r="A90" s="134"/>
      <c r="B90" s="135"/>
      <c r="C90" s="174" t="s">
        <v>116</v>
      </c>
      <c r="D90" s="174" t="s">
        <v>116</v>
      </c>
      <c r="E90" s="174" t="s">
        <v>119</v>
      </c>
      <c r="F90" s="140" t="s">
        <v>121</v>
      </c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6"/>
      <c r="S90" s="26" t="s">
        <v>166</v>
      </c>
      <c r="T90" s="26" t="s">
        <v>167</v>
      </c>
    </row>
    <row r="91" spans="1:25" ht="15.75" thickBot="1">
      <c r="A91" s="134"/>
      <c r="B91" s="35" t="s">
        <v>144</v>
      </c>
      <c r="C91" s="145" t="s">
        <v>117</v>
      </c>
      <c r="D91" s="175" t="s">
        <v>118</v>
      </c>
      <c r="E91" s="175" t="s">
        <v>120</v>
      </c>
      <c r="F91" s="14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6"/>
      <c r="S91" s="26">
        <f>(H80-$H$89)^2</f>
        <v>17.692119007409488</v>
      </c>
      <c r="T91" s="26">
        <f>H80^2</f>
        <v>0</v>
      </c>
      <c r="U91" s="26">
        <f>T91-$V$91</f>
        <v>-159.22907106668541</v>
      </c>
      <c r="V91" s="43">
        <f>((SUM(H80:H88))^2)/9</f>
        <v>159.22907106668541</v>
      </c>
      <c r="W91" s="26">
        <f>SUM(U80:U83)</f>
        <v>162.92138093745294</v>
      </c>
      <c r="X91" s="26">
        <f>(H80-$H$89)^2</f>
        <v>17.692119007409488</v>
      </c>
      <c r="Y91" s="26">
        <f>(H80-$H$89)^2</f>
        <v>17.692119007409488</v>
      </c>
    </row>
    <row r="92" spans="1:25">
      <c r="A92" s="134"/>
      <c r="B92" s="154">
        <v>1</v>
      </c>
      <c r="C92" s="49">
        <f>AVERAGE(H80:H82)</f>
        <v>-2.6529333911469171</v>
      </c>
      <c r="D92" s="50">
        <f>AVERAGE(H80,H83,H86)</f>
        <v>-6.666666666666667</v>
      </c>
      <c r="E92" s="50">
        <f>AVERAGE(H80,H85,H87)</f>
        <v>-0.64606675338704245</v>
      </c>
      <c r="F92" s="50">
        <f>AVERAGE(H80,H84,H88)</f>
        <v>-2.6529333911469171</v>
      </c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6"/>
      <c r="S92" s="26">
        <f t="shared" ref="S92:S99" si="23">(K81-$K$15)^2</f>
        <v>1799.4001246649248</v>
      </c>
      <c r="T92" s="26">
        <f t="shared" ref="T92:T99" si="24">H81^2</f>
        <v>3.7566202484886619</v>
      </c>
      <c r="U92" s="26">
        <f t="shared" ref="U92:U99" si="25">T92-$V$91</f>
        <v>-155.47245081819673</v>
      </c>
      <c r="W92" s="151"/>
      <c r="X92" s="26">
        <f t="shared" ref="X92:X99" si="26">(H81-$H$89)^2</f>
        <v>5.1438231258586455</v>
      </c>
      <c r="Y92" s="26">
        <f t="shared" ref="Y92:Y99" si="27">(H81-$H$89)^2</f>
        <v>5.1438231258586455</v>
      </c>
    </row>
    <row r="93" spans="1:25">
      <c r="A93" s="134"/>
      <c r="B93" s="154">
        <v>2</v>
      </c>
      <c r="C93" s="51">
        <f>AVERAGE(H83:H85)</f>
        <v>-9.3196000578135845</v>
      </c>
      <c r="D93" s="52">
        <f>AVERAGE(H81,H84,H87)</f>
        <v>-2.6529333911469171</v>
      </c>
      <c r="E93" s="52">
        <f>AVERAGE(H81,H83,H88)</f>
        <v>-7.9588001734407525</v>
      </c>
      <c r="F93" s="52">
        <f>AVERAGE(H81,H85,H85)</f>
        <v>-1.9382002601611275</v>
      </c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6"/>
      <c r="S93" s="26">
        <f t="shared" si="23"/>
        <v>1799.4001246649248</v>
      </c>
      <c r="T93" s="26">
        <f t="shared" si="24"/>
        <v>36.247623315782619</v>
      </c>
      <c r="U93" s="26">
        <f t="shared" si="25"/>
        <v>-122.98144775090279</v>
      </c>
      <c r="W93" s="26">
        <f t="shared" ref="W93:W102" si="28">K80^2</f>
        <v>0</v>
      </c>
      <c r="X93" s="26">
        <f t="shared" si="26"/>
        <v>3.2920468005495382</v>
      </c>
      <c r="Y93" s="26">
        <f t="shared" si="27"/>
        <v>3.2920468005495382</v>
      </c>
    </row>
    <row r="94" spans="1:25">
      <c r="A94" s="134"/>
      <c r="B94" s="154">
        <v>3</v>
      </c>
      <c r="C94" s="51">
        <f>AVERAGE(H86:H88)</f>
        <v>-0.64606675338704245</v>
      </c>
      <c r="D94" s="52">
        <f>AVERAGE(H82,H85,H88)</f>
        <v>-3.2990001445339594</v>
      </c>
      <c r="E94" s="52">
        <f>AVERAGE(H82,H84,H86)</f>
        <v>-4.0137332755197495</v>
      </c>
      <c r="F94" s="52">
        <f>AVERAGE(H82,H83,H87)</f>
        <v>-8.6735333044265417</v>
      </c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6"/>
      <c r="S94" s="26">
        <f t="shared" si="23"/>
        <v>1799.4001246649248</v>
      </c>
      <c r="T94" s="26">
        <f t="shared" si="24"/>
        <v>400</v>
      </c>
      <c r="U94" s="26">
        <f t="shared" si="25"/>
        <v>240.77092893331459</v>
      </c>
      <c r="W94" s="26">
        <f t="shared" si="28"/>
        <v>0</v>
      </c>
      <c r="X94" s="26">
        <f t="shared" si="26"/>
        <v>249.44411630944225</v>
      </c>
      <c r="Y94" s="26">
        <f t="shared" si="27"/>
        <v>249.44411630944225</v>
      </c>
    </row>
    <row r="95" spans="1:25" ht="15.75" thickBot="1">
      <c r="A95" s="134"/>
      <c r="B95" s="155" t="s">
        <v>145</v>
      </c>
      <c r="C95" s="54">
        <f>MAX(C92:C94)-MIN(C92:C94)</f>
        <v>8.6735333044265417</v>
      </c>
      <c r="D95" s="55">
        <f t="shared" ref="D95:F95" si="29">MAX(D92:D94)-MIN(D92:D94)</f>
        <v>4.0137332755197495</v>
      </c>
      <c r="E95" s="55">
        <f t="shared" si="29"/>
        <v>7.3127334200537097</v>
      </c>
      <c r="F95" s="55">
        <f t="shared" si="29"/>
        <v>6.7353330442654142</v>
      </c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6"/>
      <c r="S95" s="26">
        <f t="shared" si="23"/>
        <v>1799.4001246649248</v>
      </c>
      <c r="T95" s="26">
        <f t="shared" si="24"/>
        <v>36.247623315782619</v>
      </c>
      <c r="U95" s="26">
        <f t="shared" si="25"/>
        <v>-122.98144775090279</v>
      </c>
      <c r="W95" s="26">
        <f t="shared" si="28"/>
        <v>0</v>
      </c>
      <c r="X95" s="26">
        <f t="shared" si="26"/>
        <v>3.2920468005495382</v>
      </c>
      <c r="Y95" s="26">
        <f t="shared" si="27"/>
        <v>3.2920468005495382</v>
      </c>
    </row>
    <row r="96" spans="1:25" ht="15.75" thickBot="1">
      <c r="A96" s="134"/>
      <c r="B96" s="176" t="s">
        <v>146</v>
      </c>
      <c r="C96" s="146">
        <f>RANK(C95,C95:F95)</f>
        <v>1</v>
      </c>
      <c r="D96" s="146">
        <f>RANK(D95,C95:F95)</f>
        <v>4</v>
      </c>
      <c r="E96" s="146">
        <f>RANK(E95,C95:F95)</f>
        <v>2</v>
      </c>
      <c r="F96" s="147">
        <f>RANK(F95,C95:F95)</f>
        <v>3</v>
      </c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6"/>
      <c r="S96" s="26">
        <f t="shared" si="23"/>
        <v>1799.4001246649248</v>
      </c>
      <c r="T96" s="26">
        <f t="shared" si="24"/>
        <v>3.7566202484886619</v>
      </c>
      <c r="U96" s="26">
        <f t="shared" si="25"/>
        <v>-155.47245081819673</v>
      </c>
      <c r="W96" s="26">
        <f t="shared" si="28"/>
        <v>0</v>
      </c>
      <c r="X96" s="26">
        <f t="shared" si="26"/>
        <v>5.1438231258586455</v>
      </c>
      <c r="Y96" s="26">
        <f t="shared" si="27"/>
        <v>5.1438231258586455</v>
      </c>
    </row>
    <row r="97" spans="1:25">
      <c r="A97" s="134"/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6"/>
      <c r="S97" s="26">
        <f t="shared" si="23"/>
        <v>1799.4001246649248</v>
      </c>
      <c r="T97" s="26">
        <f t="shared" si="24"/>
        <v>0</v>
      </c>
      <c r="U97" s="26">
        <f t="shared" si="25"/>
        <v>-159.22907106668541</v>
      </c>
      <c r="W97" s="26">
        <f t="shared" si="28"/>
        <v>0</v>
      </c>
      <c r="X97" s="26">
        <f t="shared" si="26"/>
        <v>17.692119007409488</v>
      </c>
      <c r="Y97" s="26">
        <f t="shared" si="27"/>
        <v>17.692119007409488</v>
      </c>
    </row>
    <row r="98" spans="1:25">
      <c r="A98" s="134"/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6"/>
      <c r="S98" s="26">
        <f t="shared" si="23"/>
        <v>1799.4001246649248</v>
      </c>
      <c r="T98" s="26">
        <f t="shared" si="24"/>
        <v>0</v>
      </c>
      <c r="U98" s="26">
        <f t="shared" si="25"/>
        <v>-159.22907106668541</v>
      </c>
      <c r="W98" s="26">
        <f t="shared" si="28"/>
        <v>0</v>
      </c>
      <c r="X98" s="26">
        <f t="shared" si="26"/>
        <v>17.692119007409488</v>
      </c>
      <c r="Y98" s="26">
        <f t="shared" si="27"/>
        <v>17.692119007409488</v>
      </c>
    </row>
    <row r="99" spans="1:25">
      <c r="A99" s="134"/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6"/>
      <c r="S99" s="26">
        <f t="shared" si="23"/>
        <v>1799.4001246649248</v>
      </c>
      <c r="T99" s="26">
        <f t="shared" si="24"/>
        <v>3.7566202484886619</v>
      </c>
      <c r="U99" s="26">
        <f t="shared" si="25"/>
        <v>-155.47245081819673</v>
      </c>
      <c r="W99" s="26">
        <f t="shared" si="28"/>
        <v>0</v>
      </c>
      <c r="X99" s="26">
        <f t="shared" si="26"/>
        <v>5.1438231258586455</v>
      </c>
      <c r="Y99" s="26">
        <f t="shared" si="27"/>
        <v>5.1438231258586455</v>
      </c>
    </row>
    <row r="100" spans="1:25">
      <c r="A100" s="134"/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6"/>
      <c r="S100" s="58">
        <f>SUM(S91:S99)/9</f>
        <v>1601.4325684807563</v>
      </c>
      <c r="T100" s="58">
        <f>SUM(T91:T99)</f>
        <v>483.76510737703126</v>
      </c>
      <c r="U100" s="58">
        <f>SUM(U91:U99)</f>
        <v>-949.29653222313743</v>
      </c>
      <c r="W100" s="26">
        <f t="shared" si="28"/>
        <v>0</v>
      </c>
    </row>
    <row r="101" spans="1:25">
      <c r="A101" s="134"/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6"/>
      <c r="W101" s="26">
        <f t="shared" si="28"/>
        <v>0</v>
      </c>
      <c r="X101" s="151">
        <f>SUM(X91:X99)</f>
        <v>324.53603631034571</v>
      </c>
      <c r="Y101" s="151">
        <f>SUM(Y91:Y99)</f>
        <v>324.53603631034571</v>
      </c>
    </row>
    <row r="102" spans="1:25">
      <c r="A102" s="134"/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6"/>
      <c r="W102" s="26">
        <f t="shared" si="28"/>
        <v>0</v>
      </c>
    </row>
    <row r="103" spans="1:25">
      <c r="A103" s="134"/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6"/>
      <c r="W103" s="151">
        <f>SUM(W93:W102)</f>
        <v>0</v>
      </c>
    </row>
    <row r="104" spans="1:25">
      <c r="A104" s="134"/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6"/>
    </row>
    <row r="105" spans="1:25">
      <c r="A105" s="134"/>
      <c r="B105" s="135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6"/>
    </row>
    <row r="106" spans="1:25">
      <c r="A106" s="134"/>
      <c r="B106" s="135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6"/>
    </row>
    <row r="107" spans="1:25">
      <c r="A107" s="134"/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6"/>
    </row>
    <row r="108" spans="1:25">
      <c r="A108" s="134"/>
      <c r="B108" s="135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6"/>
    </row>
    <row r="109" spans="1:25">
      <c r="A109" s="134" t="s">
        <v>116</v>
      </c>
      <c r="B109" s="135" t="s">
        <v>116</v>
      </c>
      <c r="C109" s="135" t="s">
        <v>119</v>
      </c>
      <c r="D109" s="135" t="s">
        <v>121</v>
      </c>
      <c r="E109" s="43" t="s">
        <v>141</v>
      </c>
      <c r="F109" s="43"/>
      <c r="G109" s="43"/>
      <c r="H109" s="135"/>
      <c r="I109" s="135"/>
      <c r="J109" s="135"/>
      <c r="K109" s="135"/>
      <c r="L109" s="135"/>
      <c r="M109" s="135"/>
      <c r="N109" s="135"/>
      <c r="O109" s="135"/>
      <c r="P109" s="135"/>
      <c r="Q109" s="136"/>
    </row>
    <row r="110" spans="1:25">
      <c r="A110" s="134"/>
      <c r="B110" s="135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6"/>
    </row>
    <row r="111" spans="1:25">
      <c r="A111" s="134"/>
      <c r="B111" s="135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6"/>
    </row>
    <row r="112" spans="1:25">
      <c r="A112" s="134"/>
      <c r="B112" s="135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6"/>
    </row>
    <row r="113" spans="1:25" ht="15.75" thickBot="1">
      <c r="A113" s="159"/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1"/>
    </row>
    <row r="114" spans="1:25" ht="15.75" thickBot="1">
      <c r="A114" s="131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3"/>
      <c r="S114" s="26" t="s">
        <v>154</v>
      </c>
    </row>
    <row r="115" spans="1:25" ht="15.75" thickBot="1">
      <c r="A115" s="179" t="s">
        <v>54</v>
      </c>
      <c r="B115" s="180" t="s">
        <v>117</v>
      </c>
      <c r="C115" s="180" t="s">
        <v>118</v>
      </c>
      <c r="D115" s="180" t="s">
        <v>120</v>
      </c>
      <c r="E115" s="180" t="s">
        <v>152</v>
      </c>
      <c r="F115" s="146" t="s">
        <v>153</v>
      </c>
      <c r="G115" s="199" t="s">
        <v>107</v>
      </c>
      <c r="H115" s="199"/>
      <c r="I115" s="199"/>
      <c r="J115" s="199"/>
      <c r="K115" s="199"/>
      <c r="L115" s="199"/>
      <c r="M115" s="199"/>
      <c r="N115" s="180" t="s">
        <v>131</v>
      </c>
      <c r="O115" s="181" t="s">
        <v>134</v>
      </c>
      <c r="P115" s="136"/>
      <c r="R115" s="80"/>
      <c r="S115" s="200" t="s">
        <v>107</v>
      </c>
      <c r="T115" s="200"/>
      <c r="U115" s="200"/>
      <c r="V115" s="200"/>
      <c r="W115" s="200"/>
      <c r="X115" s="200"/>
      <c r="Y115" s="200"/>
    </row>
    <row r="116" spans="1:25" ht="15.75" thickBot="1">
      <c r="A116" s="131">
        <v>1</v>
      </c>
      <c r="B116" s="182" t="s">
        <v>122</v>
      </c>
      <c r="C116" s="167" t="s">
        <v>125</v>
      </c>
      <c r="D116" s="168" t="s">
        <v>128</v>
      </c>
      <c r="E116" s="168">
        <v>690</v>
      </c>
      <c r="F116" s="90">
        <v>9.2561</v>
      </c>
      <c r="G116" s="90">
        <v>11.5939</v>
      </c>
      <c r="H116" s="90">
        <v>7.6288999999999998</v>
      </c>
      <c r="I116" s="90"/>
      <c r="J116" s="90"/>
      <c r="K116" s="90"/>
      <c r="L116" s="90"/>
      <c r="M116" s="90"/>
      <c r="N116" s="90">
        <f>AVERAGE(F116:M116)</f>
        <v>9.4929666666666677</v>
      </c>
      <c r="O116" s="91">
        <f>-10*LOG10((N116^2))</f>
        <v>-19.548039118136245</v>
      </c>
      <c r="P116" s="136"/>
      <c r="R116" s="141" t="s">
        <v>146</v>
      </c>
      <c r="S116" s="142" t="s">
        <v>155</v>
      </c>
      <c r="T116" s="142" t="s">
        <v>160</v>
      </c>
      <c r="U116" s="142" t="s">
        <v>161</v>
      </c>
      <c r="V116" s="142" t="s">
        <v>168</v>
      </c>
      <c r="W116" s="142" t="s">
        <v>235</v>
      </c>
      <c r="X116" s="142" t="s">
        <v>234</v>
      </c>
      <c r="Y116" s="142" t="s">
        <v>236</v>
      </c>
    </row>
    <row r="117" spans="1:25" ht="15.75" thickBot="1">
      <c r="A117" s="134">
        <v>2</v>
      </c>
      <c r="B117" s="183" t="s">
        <v>122</v>
      </c>
      <c r="C117" s="169" t="s">
        <v>126</v>
      </c>
      <c r="D117" s="52" t="s">
        <v>129</v>
      </c>
      <c r="E117" s="52">
        <v>730</v>
      </c>
      <c r="F117" s="80">
        <v>3.7006000000000001</v>
      </c>
      <c r="G117" s="80">
        <v>10.474299999999999</v>
      </c>
      <c r="H117" s="80">
        <v>7.4630999999999998</v>
      </c>
      <c r="I117" s="80">
        <v>9.3854000000000006</v>
      </c>
      <c r="J117" s="80">
        <v>5.6562000000000001</v>
      </c>
      <c r="K117" s="80">
        <v>7.2831000000000001</v>
      </c>
      <c r="L117" s="80"/>
      <c r="M117" s="80"/>
      <c r="N117" s="80">
        <f t="shared" ref="N117:N124" si="30">AVERAGE(F117:M117)</f>
        <v>7.3271166666666661</v>
      </c>
      <c r="O117" s="91">
        <f t="shared" ref="O117:O124" si="31">-10*LOG10((N117^2))</f>
        <v>-17.298662133731312</v>
      </c>
      <c r="P117" s="136"/>
      <c r="R117" s="80">
        <v>1</v>
      </c>
      <c r="S117" s="99" t="s">
        <v>207</v>
      </c>
      <c r="T117" s="79">
        <v>2</v>
      </c>
      <c r="U117" s="79">
        <f>3*((D128-$O$125)^2+(D129-$O$125)^2+(D130-$O$125)^2)</f>
        <v>68.428547560775144</v>
      </c>
      <c r="V117" s="79">
        <f>U117/T117</f>
        <v>34.214273780387572</v>
      </c>
      <c r="W117" s="79">
        <f>V117/$V$120</f>
        <v>26.325830521862628</v>
      </c>
      <c r="X117" s="83">
        <f>FDIST(W117,2,2)</f>
        <v>3.6595411041490292E-2</v>
      </c>
      <c r="Y117" s="79">
        <f>U117*100/$U$121</f>
        <v>68.967989723120439</v>
      </c>
    </row>
    <row r="118" spans="1:25" ht="15.75" thickBot="1">
      <c r="A118" s="134">
        <v>3</v>
      </c>
      <c r="B118" s="183" t="s">
        <v>122</v>
      </c>
      <c r="C118" s="169" t="s">
        <v>127</v>
      </c>
      <c r="D118" s="52" t="s">
        <v>130</v>
      </c>
      <c r="E118" s="52">
        <v>770</v>
      </c>
      <c r="F118" s="80">
        <v>7.1391999999999998</v>
      </c>
      <c r="G118" s="80">
        <v>6.2031999999999998</v>
      </c>
      <c r="H118" s="80">
        <v>5.0518999999999998</v>
      </c>
      <c r="I118" s="80">
        <v>4.2915000000000001</v>
      </c>
      <c r="J118" s="80">
        <v>4.9427000000000003</v>
      </c>
      <c r="K118" s="80">
        <v>7.4166999999999996</v>
      </c>
      <c r="L118" s="80"/>
      <c r="M118" s="80"/>
      <c r="N118" s="80">
        <f t="shared" si="30"/>
        <v>5.8408666666666669</v>
      </c>
      <c r="O118" s="91">
        <f t="shared" si="31"/>
        <v>-15.329545848499261</v>
      </c>
      <c r="P118" s="136"/>
      <c r="R118" s="80">
        <v>2</v>
      </c>
      <c r="S118" s="52" t="s">
        <v>205</v>
      </c>
      <c r="T118" s="79">
        <v>2</v>
      </c>
      <c r="U118" s="79">
        <f>3*((E128-$O$125)^2+(E129-$O$125)^2+(E130-$O$125)^2)</f>
        <v>16.124955837616472</v>
      </c>
      <c r="V118" s="79">
        <f>U118/T118</f>
        <v>8.0624779188082361</v>
      </c>
      <c r="W118" s="79">
        <f>V118/$V$120</f>
        <v>6.203592940162677</v>
      </c>
      <c r="X118" s="83">
        <f>FDIST(W118,2,2)</f>
        <v>0.13881961519817382</v>
      </c>
      <c r="Y118" s="79">
        <f>U118*100/$U$121</f>
        <v>16.252073559018356</v>
      </c>
    </row>
    <row r="119" spans="1:25" ht="15.75" thickBot="1">
      <c r="A119" s="134">
        <v>4</v>
      </c>
      <c r="B119" s="183" t="s">
        <v>123</v>
      </c>
      <c r="C119" s="169" t="s">
        <v>125</v>
      </c>
      <c r="D119" s="52" t="s">
        <v>129</v>
      </c>
      <c r="E119" s="52">
        <v>770</v>
      </c>
      <c r="F119" s="80">
        <v>38.119</v>
      </c>
      <c r="G119" s="80">
        <v>32.769199999999998</v>
      </c>
      <c r="H119" s="80">
        <v>20.04</v>
      </c>
      <c r="I119" s="80">
        <v>7.7736999999999998</v>
      </c>
      <c r="J119" s="80">
        <v>17.962800000000001</v>
      </c>
      <c r="K119" s="80">
        <v>25.309699999999999</v>
      </c>
      <c r="L119" s="80"/>
      <c r="M119" s="80"/>
      <c r="N119" s="80">
        <f t="shared" si="30"/>
        <v>23.662400000000002</v>
      </c>
      <c r="O119" s="91">
        <f t="shared" si="31"/>
        <v>-27.481175831954797</v>
      </c>
      <c r="P119" s="136"/>
      <c r="R119" s="80">
        <v>3</v>
      </c>
      <c r="S119" s="98" t="s">
        <v>157</v>
      </c>
      <c r="T119" s="79">
        <v>2</v>
      </c>
      <c r="U119" s="79">
        <f>3*((F128-$O$125)^2+(F129-$O$125)^2+(F130-$O$125)^2)</f>
        <v>12.065040486021234</v>
      </c>
      <c r="V119" s="79">
        <f>U119/T119</f>
        <v>6.0325202430106168</v>
      </c>
      <c r="W119" s="79">
        <f>V119/$V$120</f>
        <v>4.6416623236421666</v>
      </c>
      <c r="X119" s="83">
        <f>FDIST(W119,2,2)</f>
        <v>0.17725272138444473</v>
      </c>
      <c r="Y119" s="79">
        <f>U119*100/$U$121</f>
        <v>12.160152712724313</v>
      </c>
    </row>
    <row r="120" spans="1:25" ht="15.75" thickBot="1">
      <c r="A120" s="134">
        <v>5</v>
      </c>
      <c r="B120" s="183" t="s">
        <v>123</v>
      </c>
      <c r="C120" s="169" t="s">
        <v>126</v>
      </c>
      <c r="D120" s="52" t="s">
        <v>130</v>
      </c>
      <c r="E120" s="52">
        <v>690</v>
      </c>
      <c r="F120" s="80">
        <v>15.481299999999999</v>
      </c>
      <c r="G120" s="80">
        <v>8.2464999999999993</v>
      </c>
      <c r="H120" s="80">
        <v>10.7501</v>
      </c>
      <c r="I120" s="80">
        <v>14.072800000000001</v>
      </c>
      <c r="J120" s="80">
        <v>6.9355000000000002</v>
      </c>
      <c r="K120" s="80">
        <v>13.3186</v>
      </c>
      <c r="L120" s="80"/>
      <c r="M120" s="80"/>
      <c r="N120" s="80">
        <f t="shared" si="30"/>
        <v>11.467466666666667</v>
      </c>
      <c r="O120" s="91">
        <f t="shared" si="31"/>
        <v>-21.189349728199399</v>
      </c>
      <c r="P120" s="136"/>
      <c r="R120" s="80">
        <v>4</v>
      </c>
      <c r="S120" s="100" t="s">
        <v>206</v>
      </c>
      <c r="T120" s="79">
        <v>2</v>
      </c>
      <c r="U120" s="79">
        <f>3*((G128-$O$125)^2+(G129-$O$125)^2+(G130-$O$125)^2)</f>
        <v>2.5992930215040233</v>
      </c>
      <c r="V120" s="79">
        <f>U120/T120</f>
        <v>1.2996465107520117</v>
      </c>
      <c r="W120" s="79"/>
      <c r="X120" s="82"/>
      <c r="Y120" s="79">
        <f>U120*100/$U$121</f>
        <v>2.6197840051368972</v>
      </c>
    </row>
    <row r="121" spans="1:25" ht="15.75" thickBot="1">
      <c r="A121" s="134">
        <v>6</v>
      </c>
      <c r="B121" s="183" t="s">
        <v>123</v>
      </c>
      <c r="C121" s="169" t="s">
        <v>127</v>
      </c>
      <c r="D121" s="52" t="s">
        <v>128</v>
      </c>
      <c r="E121" s="52">
        <v>730</v>
      </c>
      <c r="F121" s="80">
        <v>13.057499999999999</v>
      </c>
      <c r="G121" s="80">
        <v>22.625900000000001</v>
      </c>
      <c r="H121" s="80">
        <v>11.631500000000001</v>
      </c>
      <c r="I121" s="80">
        <v>10.0185</v>
      </c>
      <c r="J121" s="80"/>
      <c r="K121" s="80"/>
      <c r="L121" s="80"/>
      <c r="M121" s="80"/>
      <c r="N121" s="80">
        <f t="shared" si="30"/>
        <v>14.333349999999999</v>
      </c>
      <c r="O121" s="91">
        <f t="shared" si="31"/>
        <v>-23.126954117064283</v>
      </c>
      <c r="P121" s="136"/>
      <c r="R121" s="80"/>
      <c r="S121" s="98" t="s">
        <v>159</v>
      </c>
      <c r="T121" s="79">
        <v>8</v>
      </c>
      <c r="U121" s="79">
        <f>SUM(U117:U120)</f>
        <v>99.217836905916869</v>
      </c>
      <c r="V121" s="80"/>
      <c r="W121" s="80"/>
      <c r="X121" s="80"/>
      <c r="Y121" s="79">
        <f>U121*100/$U$121</f>
        <v>100</v>
      </c>
    </row>
    <row r="122" spans="1:25" ht="15.75" thickBot="1">
      <c r="A122" s="134">
        <v>7</v>
      </c>
      <c r="B122" s="183" t="s">
        <v>124</v>
      </c>
      <c r="C122" s="169" t="s">
        <v>125</v>
      </c>
      <c r="D122" s="52" t="s">
        <v>130</v>
      </c>
      <c r="E122" s="52">
        <v>730</v>
      </c>
      <c r="F122" s="80">
        <v>17.7029</v>
      </c>
      <c r="G122" s="80">
        <v>7.9240000000000004</v>
      </c>
      <c r="H122" s="80">
        <v>11.2059</v>
      </c>
      <c r="I122" s="80">
        <v>13.670400000000001</v>
      </c>
      <c r="J122" s="80">
        <v>11.4595</v>
      </c>
      <c r="K122" s="80">
        <v>9.6903000000000006</v>
      </c>
      <c r="L122" s="80">
        <v>16.4636</v>
      </c>
      <c r="M122" s="80">
        <v>12.9329</v>
      </c>
      <c r="N122" s="80">
        <f t="shared" si="30"/>
        <v>12.631187499999999</v>
      </c>
      <c r="O122" s="91">
        <f t="shared" si="31"/>
        <v>-22.028883638903928</v>
      </c>
      <c r="P122" s="136"/>
    </row>
    <row r="123" spans="1:25" ht="15.75" thickBot="1">
      <c r="A123" s="134">
        <v>8</v>
      </c>
      <c r="B123" s="183" t="s">
        <v>124</v>
      </c>
      <c r="C123" s="169" t="s">
        <v>126</v>
      </c>
      <c r="D123" s="52" t="s">
        <v>128</v>
      </c>
      <c r="E123" s="52">
        <v>770</v>
      </c>
      <c r="F123" s="80">
        <v>11.6313</v>
      </c>
      <c r="G123" s="80">
        <v>13.756500000000001</v>
      </c>
      <c r="H123" s="80">
        <v>16.5517</v>
      </c>
      <c r="I123" s="80"/>
      <c r="J123" s="80"/>
      <c r="K123" s="80"/>
      <c r="L123" s="80"/>
      <c r="M123" s="80"/>
      <c r="N123" s="80">
        <f t="shared" si="30"/>
        <v>13.979833333333332</v>
      </c>
      <c r="O123" s="91">
        <f t="shared" si="31"/>
        <v>-22.910039876197374</v>
      </c>
      <c r="P123" s="136"/>
    </row>
    <row r="124" spans="1:25" ht="15.75" thickBot="1">
      <c r="A124" s="159">
        <v>9</v>
      </c>
      <c r="B124" s="184" t="s">
        <v>124</v>
      </c>
      <c r="C124" s="171" t="s">
        <v>127</v>
      </c>
      <c r="D124" s="172" t="s">
        <v>129</v>
      </c>
      <c r="E124" s="172">
        <v>690</v>
      </c>
      <c r="F124" s="92">
        <v>20.034500000000001</v>
      </c>
      <c r="G124" s="92">
        <v>9.2689000000000004</v>
      </c>
      <c r="H124" s="92">
        <v>11.2082</v>
      </c>
      <c r="I124" s="92">
        <v>12.754</v>
      </c>
      <c r="J124" s="92">
        <v>9.1076999999999995</v>
      </c>
      <c r="K124" s="92">
        <v>8.3472000000000008</v>
      </c>
      <c r="L124" s="92"/>
      <c r="M124" s="92"/>
      <c r="N124" s="92">
        <f t="shared" si="30"/>
        <v>11.78675</v>
      </c>
      <c r="O124" s="91">
        <f t="shared" si="31"/>
        <v>-21.427881442629193</v>
      </c>
      <c r="P124" s="136"/>
    </row>
    <row r="125" spans="1:25" ht="15.75" thickBot="1">
      <c r="A125" s="134"/>
      <c r="B125" s="135"/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93">
        <f>AVERAGE(O116:O124)</f>
        <v>-21.148947970590644</v>
      </c>
      <c r="P125" s="136"/>
    </row>
    <row r="126" spans="1:25" ht="15.75" thickBot="1">
      <c r="A126" s="134"/>
      <c r="B126" s="135"/>
      <c r="C126" s="135"/>
      <c r="D126" s="174" t="s">
        <v>116</v>
      </c>
      <c r="E126" s="174" t="s">
        <v>116</v>
      </c>
      <c r="F126" s="174" t="s">
        <v>119</v>
      </c>
      <c r="G126" s="140" t="s">
        <v>121</v>
      </c>
      <c r="H126" s="135"/>
      <c r="I126" s="135"/>
      <c r="J126" s="135"/>
      <c r="K126" s="135"/>
      <c r="L126" s="135"/>
      <c r="M126" s="135"/>
      <c r="N126" s="135"/>
      <c r="O126" s="135"/>
      <c r="P126" s="136"/>
    </row>
    <row r="127" spans="1:25" ht="15.75" thickBot="1">
      <c r="A127" s="134"/>
      <c r="B127" s="135"/>
      <c r="C127" s="35" t="s">
        <v>144</v>
      </c>
      <c r="D127" s="145" t="s">
        <v>117</v>
      </c>
      <c r="E127" s="175" t="s">
        <v>118</v>
      </c>
      <c r="F127" s="175" t="s">
        <v>120</v>
      </c>
      <c r="G127" s="145"/>
      <c r="H127" s="135"/>
      <c r="I127" s="135"/>
      <c r="J127" s="135"/>
      <c r="K127" s="135"/>
      <c r="L127" s="135"/>
      <c r="M127" s="135"/>
      <c r="N127" s="135"/>
      <c r="O127" s="135"/>
      <c r="P127" s="136"/>
    </row>
    <row r="128" spans="1:25">
      <c r="A128" s="134"/>
      <c r="B128" s="135"/>
      <c r="C128" s="154">
        <v>1</v>
      </c>
      <c r="D128" s="49">
        <f>AVERAGE(O116:O118)</f>
        <v>-17.392082366788941</v>
      </c>
      <c r="E128" s="50">
        <f>AVERAGE(O116,O119,O122)</f>
        <v>-23.019366196331656</v>
      </c>
      <c r="F128" s="50">
        <f>AVERAGE(O116,O121,O123)</f>
        <v>-21.861677703799302</v>
      </c>
      <c r="G128" s="50">
        <f>AVERAGE(O116,O120,O124)</f>
        <v>-20.721756762988282</v>
      </c>
      <c r="H128" s="135"/>
      <c r="I128" s="135"/>
      <c r="J128" s="135"/>
      <c r="K128" s="135"/>
      <c r="L128" s="135"/>
      <c r="M128" s="135"/>
      <c r="N128" s="135"/>
      <c r="O128" s="135"/>
      <c r="P128" s="136"/>
      <c r="S128" s="26" t="s">
        <v>166</v>
      </c>
      <c r="T128" s="26" t="s">
        <v>167</v>
      </c>
    </row>
    <row r="129" spans="1:25">
      <c r="A129" s="134"/>
      <c r="B129" s="135"/>
      <c r="C129" s="154">
        <v>2</v>
      </c>
      <c r="D129" s="51">
        <f>AVERAGE(O119:O121)</f>
        <v>-23.932493225739492</v>
      </c>
      <c r="E129" s="52">
        <f>AVERAGE(O117,O120,O123)</f>
        <v>-20.466017246042696</v>
      </c>
      <c r="F129" s="52">
        <f>AVERAGE(O117,O119,O124)</f>
        <v>-22.069239802771772</v>
      </c>
      <c r="G129" s="52">
        <f>AVERAGE(O117,O121,O122)</f>
        <v>-20.818166629899842</v>
      </c>
      <c r="H129" s="135"/>
      <c r="I129" s="135"/>
      <c r="J129" s="135"/>
      <c r="K129" s="135"/>
      <c r="L129" s="135"/>
      <c r="M129" s="135"/>
      <c r="N129" s="135"/>
      <c r="O129" s="135"/>
      <c r="P129" s="136"/>
      <c r="S129" s="26">
        <f>(H118-$H$89)^2</f>
        <v>85.712416858902529</v>
      </c>
      <c r="T129" s="26">
        <f>H118^2</f>
        <v>25.52169361</v>
      </c>
      <c r="U129" s="26">
        <f>T129-$V$91</f>
        <v>-133.70737745668541</v>
      </c>
      <c r="V129" s="43">
        <f>((SUM(H118:H126))^2)/9</f>
        <v>830.19473160999996</v>
      </c>
      <c r="W129" s="26">
        <f>SUM(U118:U121)</f>
        <v>130.00712625105859</v>
      </c>
      <c r="X129" s="26">
        <f>(O116-$O$125)^2</f>
        <v>2.5629091538668609</v>
      </c>
      <c r="Y129" s="26">
        <f>(H118-$H$89)^2</f>
        <v>85.712416858902529</v>
      </c>
    </row>
    <row r="130" spans="1:25">
      <c r="A130" s="134"/>
      <c r="B130" s="135"/>
      <c r="C130" s="154">
        <v>3</v>
      </c>
      <c r="D130" s="51">
        <f>AVERAGE(O122:O124)</f>
        <v>-22.122268319243499</v>
      </c>
      <c r="E130" s="52">
        <f>AVERAGE(O118,O121,O124)</f>
        <v>-19.961460469397579</v>
      </c>
      <c r="F130" s="52">
        <f>AVERAGE(O118,O120,O122)</f>
        <v>-19.515926405200862</v>
      </c>
      <c r="G130" s="52">
        <f>AVERAGE(O118,O119,O123)</f>
        <v>-21.906920518883812</v>
      </c>
      <c r="H130" s="135"/>
      <c r="I130" s="135"/>
      <c r="J130" s="135"/>
      <c r="K130" s="135"/>
      <c r="L130" s="135"/>
      <c r="M130" s="135"/>
      <c r="N130" s="135"/>
      <c r="O130" s="135"/>
      <c r="P130" s="136"/>
      <c r="S130" s="26">
        <f t="shared" ref="S130:S137" si="32">(K119-$K$15)^2</f>
        <v>292.73966744007657</v>
      </c>
      <c r="T130" s="26">
        <f t="shared" ref="T130:T137" si="33">H119^2</f>
        <v>401.60159999999996</v>
      </c>
      <c r="U130" s="26">
        <f t="shared" ref="U130:U137" si="34">T130-$V$91</f>
        <v>242.37252893331456</v>
      </c>
      <c r="W130" s="151"/>
      <c r="X130" s="26">
        <f t="shared" ref="X130:X137" si="35">(O117-$O$125)^2</f>
        <v>14.824701025519563</v>
      </c>
      <c r="Y130" s="26">
        <f t="shared" ref="Y130:Y137" si="36">(H119-$H$89)^2</f>
        <v>587.87821771077267</v>
      </c>
    </row>
    <row r="131" spans="1:25" ht="15.75" thickBot="1">
      <c r="A131" s="134"/>
      <c r="B131" s="135"/>
      <c r="C131" s="155" t="s">
        <v>145</v>
      </c>
      <c r="D131" s="54">
        <f>MAX(D128:D130)-MIN(D128:D130)</f>
        <v>6.5404108589505512</v>
      </c>
      <c r="E131" s="55">
        <f t="shared" ref="E131:G131" si="37">MAX(E128:E130)-MIN(E128:E130)</f>
        <v>3.0579057269340773</v>
      </c>
      <c r="F131" s="55">
        <f t="shared" si="37"/>
        <v>2.5533133975709106</v>
      </c>
      <c r="G131" s="55">
        <f t="shared" si="37"/>
        <v>1.1851637558955304</v>
      </c>
      <c r="H131" s="135"/>
      <c r="I131" s="135"/>
      <c r="J131" s="135"/>
      <c r="K131" s="135"/>
      <c r="L131" s="135"/>
      <c r="M131" s="135"/>
      <c r="N131" s="135"/>
      <c r="O131" s="135"/>
      <c r="P131" s="136"/>
      <c r="S131" s="26">
        <f t="shared" si="32"/>
        <v>846.85287552020452</v>
      </c>
      <c r="T131" s="26">
        <f t="shared" si="33"/>
        <v>115.56465000999999</v>
      </c>
      <c r="U131" s="26">
        <f t="shared" si="34"/>
        <v>-43.664421056685413</v>
      </c>
      <c r="W131" s="26">
        <f t="shared" ref="W131:W140" si="38">K118^2</f>
        <v>55.007438889999996</v>
      </c>
      <c r="X131" s="26">
        <f t="shared" si="35"/>
        <v>33.865441058601689</v>
      </c>
      <c r="Y131" s="26">
        <f t="shared" si="36"/>
        <v>223.69091170758037</v>
      </c>
    </row>
    <row r="132" spans="1:25" ht="15.75" thickBot="1">
      <c r="A132" s="134"/>
      <c r="B132" s="135"/>
      <c r="C132" s="176" t="s">
        <v>146</v>
      </c>
      <c r="D132" s="146">
        <f>RANK(D131,D131:G131)</f>
        <v>1</v>
      </c>
      <c r="E132" s="146">
        <f>RANK(E131,D131:G131)</f>
        <v>2</v>
      </c>
      <c r="F132" s="146">
        <f>RANK(F131,D131:G131)</f>
        <v>3</v>
      </c>
      <c r="G132" s="147">
        <f>RANK(G131,D131:G131)</f>
        <v>4</v>
      </c>
      <c r="H132" s="135"/>
      <c r="I132" s="135"/>
      <c r="J132" s="135"/>
      <c r="K132" s="135"/>
      <c r="L132" s="135"/>
      <c r="M132" s="135"/>
      <c r="N132" s="135"/>
      <c r="O132" s="135"/>
      <c r="P132" s="136"/>
      <c r="S132" s="26">
        <f t="shared" si="32"/>
        <v>1799.4001246649248</v>
      </c>
      <c r="T132" s="26">
        <f t="shared" si="33"/>
        <v>135.29179225000001</v>
      </c>
      <c r="U132" s="26">
        <f t="shared" si="34"/>
        <v>-23.937278816685392</v>
      </c>
      <c r="W132" s="26">
        <f t="shared" si="38"/>
        <v>640.58091408999996</v>
      </c>
      <c r="X132" s="26">
        <f t="shared" si="35"/>
        <v>40.097109688236436</v>
      </c>
      <c r="Y132" s="26">
        <f t="shared" si="36"/>
        <v>250.83274342647977</v>
      </c>
    </row>
    <row r="133" spans="1:25">
      <c r="A133" s="134"/>
      <c r="B133" s="135"/>
      <c r="C133" s="135"/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5"/>
      <c r="O133" s="135"/>
      <c r="P133" s="136"/>
      <c r="S133" s="26">
        <f t="shared" si="32"/>
        <v>1071.1898422274166</v>
      </c>
      <c r="T133" s="26">
        <f t="shared" si="33"/>
        <v>125.57219481</v>
      </c>
      <c r="U133" s="26">
        <f t="shared" si="34"/>
        <v>-33.656876256685408</v>
      </c>
      <c r="W133" s="26">
        <f t="shared" si="38"/>
        <v>177.38510596</v>
      </c>
      <c r="X133" s="26">
        <f t="shared" si="35"/>
        <v>1.6323020178766264E-3</v>
      </c>
      <c r="Y133" s="26">
        <f t="shared" si="36"/>
        <v>237.53282848906704</v>
      </c>
    </row>
    <row r="134" spans="1:25">
      <c r="A134" s="134"/>
      <c r="B134" s="135"/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6"/>
      <c r="S134" s="26">
        <f t="shared" si="32"/>
        <v>1799.4001246649248</v>
      </c>
      <c r="T134" s="26">
        <f t="shared" si="33"/>
        <v>273.95877289000003</v>
      </c>
      <c r="U134" s="26">
        <f t="shared" si="34"/>
        <v>114.72970182331463</v>
      </c>
      <c r="W134" s="26">
        <f t="shared" si="38"/>
        <v>0</v>
      </c>
      <c r="X134" s="26">
        <f t="shared" si="35"/>
        <v>3.9125083154874956</v>
      </c>
      <c r="Y134" s="26">
        <f t="shared" si="36"/>
        <v>430.89041521020675</v>
      </c>
    </row>
    <row r="135" spans="1:25">
      <c r="A135" s="134"/>
      <c r="B135" s="135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6"/>
      <c r="S135" s="26">
        <f t="shared" si="32"/>
        <v>1160.9104981765329</v>
      </c>
      <c r="T135" s="26">
        <f t="shared" si="33"/>
        <v>125.62374724</v>
      </c>
      <c r="U135" s="26">
        <f t="shared" si="34"/>
        <v>-33.605323826685407</v>
      </c>
      <c r="W135" s="26">
        <f t="shared" si="38"/>
        <v>93.901914090000005</v>
      </c>
      <c r="X135" s="26">
        <f t="shared" si="35"/>
        <v>0.77428678036994492</v>
      </c>
      <c r="Y135" s="26">
        <f t="shared" si="36"/>
        <v>237.60372943937728</v>
      </c>
    </row>
    <row r="136" spans="1:25">
      <c r="A136" s="134"/>
      <c r="B136" s="135"/>
      <c r="C136" s="135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5"/>
      <c r="P136" s="136"/>
      <c r="S136" s="26">
        <f t="shared" si="32"/>
        <v>1799.4001246649248</v>
      </c>
      <c r="T136" s="26">
        <f t="shared" si="33"/>
        <v>0</v>
      </c>
      <c r="U136" s="26">
        <f t="shared" si="34"/>
        <v>-159.22907106668541</v>
      </c>
      <c r="W136" s="26">
        <f t="shared" si="38"/>
        <v>0</v>
      </c>
      <c r="X136" s="26">
        <f t="shared" si="35"/>
        <v>3.1014446999935421</v>
      </c>
      <c r="Y136" s="26">
        <f t="shared" si="36"/>
        <v>17.692119007409488</v>
      </c>
    </row>
    <row r="137" spans="1:25">
      <c r="A137" s="134"/>
      <c r="B137" s="135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6"/>
      <c r="S137" s="26">
        <f t="shared" si="32"/>
        <v>1799.4001246649248</v>
      </c>
      <c r="T137" s="26">
        <f t="shared" si="33"/>
        <v>0</v>
      </c>
      <c r="U137" s="26">
        <f t="shared" si="34"/>
        <v>-159.22907106668541</v>
      </c>
      <c r="W137" s="26">
        <f t="shared" si="38"/>
        <v>69.675747840000014</v>
      </c>
      <c r="X137" s="26">
        <f t="shared" si="35"/>
        <v>7.7803881823479998E-2</v>
      </c>
      <c r="Y137" s="26">
        <f t="shared" si="36"/>
        <v>17.692119007409488</v>
      </c>
    </row>
    <row r="138" spans="1:25">
      <c r="A138" s="134"/>
      <c r="B138" s="135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6"/>
      <c r="S138" s="58">
        <f>SUM(S129:S137)/9</f>
        <v>1183.8895332092036</v>
      </c>
      <c r="T138" s="58">
        <f>SUM(T129:T137)</f>
        <v>1203.1344508100001</v>
      </c>
      <c r="U138" s="58">
        <f>SUM(U129:U137)</f>
        <v>-229.92718879016866</v>
      </c>
      <c r="W138" s="26">
        <f t="shared" si="38"/>
        <v>0</v>
      </c>
    </row>
    <row r="139" spans="1:25">
      <c r="A139" s="134"/>
      <c r="B139" s="135"/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6"/>
      <c r="W139" s="26">
        <f t="shared" si="38"/>
        <v>0</v>
      </c>
      <c r="X139" s="151">
        <f>SUM(X129:X137)</f>
        <v>99.217836905916911</v>
      </c>
      <c r="Y139" s="151">
        <f>SUM(Y129:Y137)</f>
        <v>2089.5255008572053</v>
      </c>
    </row>
    <row r="140" spans="1:25">
      <c r="A140" s="134"/>
      <c r="B140" s="135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6"/>
      <c r="W140" s="26">
        <f t="shared" si="38"/>
        <v>0</v>
      </c>
    </row>
    <row r="141" spans="1:25">
      <c r="A141" s="134"/>
      <c r="B141" s="135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6"/>
      <c r="W141" s="151">
        <f>SUM(W131:W140)</f>
        <v>1036.55112087</v>
      </c>
    </row>
    <row r="142" spans="1:25">
      <c r="A142" s="134"/>
      <c r="B142" s="135"/>
      <c r="C142" s="135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6"/>
    </row>
    <row r="143" spans="1:25">
      <c r="A143" s="134"/>
      <c r="B143" s="135"/>
      <c r="C143" s="135"/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6"/>
    </row>
    <row r="144" spans="1:25">
      <c r="A144" s="134"/>
      <c r="B144" s="135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6"/>
    </row>
    <row r="145" spans="1:25">
      <c r="A145" s="134"/>
      <c r="B145" s="135"/>
      <c r="C145" s="135"/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6"/>
    </row>
    <row r="146" spans="1:25">
      <c r="A146" s="134"/>
      <c r="B146" s="135"/>
      <c r="C146" s="135"/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6"/>
    </row>
    <row r="147" spans="1:25">
      <c r="A147" s="134"/>
      <c r="B147" s="135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6"/>
    </row>
    <row r="148" spans="1:25">
      <c r="A148" s="134"/>
      <c r="B148" s="135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6"/>
    </row>
    <row r="149" spans="1:25">
      <c r="A149" s="134"/>
      <c r="B149" s="135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6"/>
    </row>
    <row r="150" spans="1:25">
      <c r="A150" s="134"/>
      <c r="B150" s="135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6"/>
    </row>
    <row r="151" spans="1:25">
      <c r="A151" s="134"/>
      <c r="B151" s="135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6"/>
    </row>
    <row r="152" spans="1:25">
      <c r="A152" s="134"/>
      <c r="B152" s="135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6"/>
    </row>
    <row r="153" spans="1:25" ht="15.75" thickBot="1">
      <c r="A153" s="159"/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1"/>
    </row>
    <row r="154" spans="1:25">
      <c r="A154" s="131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3"/>
      <c r="S154" s="26" t="s">
        <v>154</v>
      </c>
    </row>
    <row r="155" spans="1:25" ht="15.75" thickBot="1">
      <c r="A155" s="134"/>
      <c r="B155" s="135" t="s">
        <v>114</v>
      </c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6"/>
      <c r="S155" s="203" t="s">
        <v>210</v>
      </c>
      <c r="T155" s="204"/>
      <c r="U155" s="204"/>
      <c r="V155" s="204"/>
      <c r="W155" s="204"/>
      <c r="X155" s="204"/>
      <c r="Y155" s="205"/>
    </row>
    <row r="156" spans="1:25">
      <c r="A156" s="134"/>
      <c r="B156" s="162"/>
      <c r="C156" s="163" t="s">
        <v>116</v>
      </c>
      <c r="D156" s="163" t="s">
        <v>116</v>
      </c>
      <c r="E156" s="163" t="s">
        <v>119</v>
      </c>
      <c r="F156" s="163" t="s">
        <v>121</v>
      </c>
      <c r="G156" s="174" t="s">
        <v>132</v>
      </c>
      <c r="H156" s="139"/>
      <c r="I156" s="139"/>
      <c r="J156" s="185"/>
      <c r="K156" s="185"/>
      <c r="L156" s="186"/>
      <c r="M156" s="135"/>
      <c r="N156" s="135"/>
      <c r="O156" s="135"/>
      <c r="P156" s="136"/>
      <c r="R156" s="141" t="s">
        <v>146</v>
      </c>
      <c r="S156" s="142" t="s">
        <v>155</v>
      </c>
      <c r="T156" s="142" t="s">
        <v>160</v>
      </c>
      <c r="U156" s="142" t="s">
        <v>161</v>
      </c>
      <c r="V156" s="142" t="s">
        <v>168</v>
      </c>
      <c r="W156" s="142" t="s">
        <v>235</v>
      </c>
      <c r="X156" s="142" t="s">
        <v>234</v>
      </c>
      <c r="Y156" s="142" t="s">
        <v>236</v>
      </c>
    </row>
    <row r="157" spans="1:25" ht="15.75" thickBot="1">
      <c r="A157" s="134"/>
      <c r="B157" s="187" t="s">
        <v>115</v>
      </c>
      <c r="C157" s="149" t="s">
        <v>117</v>
      </c>
      <c r="D157" s="149" t="s">
        <v>118</v>
      </c>
      <c r="E157" s="149" t="s">
        <v>120</v>
      </c>
      <c r="F157" s="206" t="s">
        <v>136</v>
      </c>
      <c r="G157" s="202"/>
      <c r="H157" s="202"/>
      <c r="I157" s="202"/>
      <c r="J157" s="202"/>
      <c r="K157" s="165" t="s">
        <v>131</v>
      </c>
      <c r="L157" s="166" t="s">
        <v>134</v>
      </c>
      <c r="M157" s="135"/>
      <c r="N157" s="135"/>
      <c r="O157" s="135"/>
      <c r="P157" s="136"/>
      <c r="R157" s="80"/>
      <c r="S157" s="98" t="s">
        <v>157</v>
      </c>
      <c r="T157" s="79">
        <v>2</v>
      </c>
      <c r="U157" s="79">
        <f>3*((F170-$L$167)^2+(F171-$L$167)^2+(F172-$L$167)^2)</f>
        <v>180.84147196439937</v>
      </c>
      <c r="V157" s="79">
        <f>U157/T157</f>
        <v>90.420735982199687</v>
      </c>
      <c r="W157" s="79">
        <f>V157/$V$161</f>
        <v>101.39149747363128</v>
      </c>
      <c r="X157" s="83">
        <f>FDIST(W157,2,4)</f>
        <v>3.7418841748766457E-4</v>
      </c>
      <c r="Y157" s="79">
        <f>U157*100/$U$162</f>
        <v>92.417923277042632</v>
      </c>
    </row>
    <row r="158" spans="1:25">
      <c r="A158" s="134"/>
      <c r="B158" s="148">
        <v>1</v>
      </c>
      <c r="C158" s="167" t="s">
        <v>122</v>
      </c>
      <c r="D158" s="168" t="s">
        <v>125</v>
      </c>
      <c r="E158" s="168" t="s">
        <v>128</v>
      </c>
      <c r="F158" s="168">
        <v>690</v>
      </c>
      <c r="G158" s="90">
        <v>2.65</v>
      </c>
      <c r="H158" s="90">
        <v>2.3617021276595747</v>
      </c>
      <c r="I158" s="90">
        <v>1.7999999999999998</v>
      </c>
      <c r="J158" s="90">
        <v>1.8699999999999999</v>
      </c>
      <c r="K158" s="90">
        <f>AVERAGE(G158:J158)</f>
        <v>2.1704255319148937</v>
      </c>
      <c r="L158" s="91">
        <f>-10*LOG10((1/(K158^2)))</f>
        <v>6.730897792591354</v>
      </c>
      <c r="M158" s="135"/>
      <c r="N158" s="135"/>
      <c r="O158" s="135"/>
      <c r="P158" s="136"/>
      <c r="R158" s="80" t="s">
        <v>211</v>
      </c>
      <c r="S158" s="79" t="s">
        <v>209</v>
      </c>
      <c r="T158" s="79">
        <v>2</v>
      </c>
      <c r="U158" s="79">
        <f>3*((G170-$L$167)^2+(G171-$L$167)^2+(G172-$L$167)^2)</f>
        <v>11.269258135436587</v>
      </c>
      <c r="V158" s="79">
        <f>U158/T158</f>
        <v>5.6346290677182935</v>
      </c>
      <c r="W158" s="79"/>
      <c r="X158" s="83"/>
      <c r="Y158" s="79">
        <f t="shared" ref="Y158:Y160" si="39">U158*100/$U$162</f>
        <v>5.7590851392483362</v>
      </c>
    </row>
    <row r="159" spans="1:25">
      <c r="A159" s="134"/>
      <c r="B159" s="148">
        <v>2</v>
      </c>
      <c r="C159" s="169" t="s">
        <v>122</v>
      </c>
      <c r="D159" s="52" t="s">
        <v>126</v>
      </c>
      <c r="E159" s="52" t="s">
        <v>129</v>
      </c>
      <c r="F159" s="52">
        <v>730</v>
      </c>
      <c r="G159" s="80">
        <v>2.64</v>
      </c>
      <c r="H159" s="80">
        <v>2.1711899791231737</v>
      </c>
      <c r="I159" s="80">
        <v>2.5544554455445545</v>
      </c>
      <c r="J159" s="80">
        <v>2.8759999999999999</v>
      </c>
      <c r="K159" s="80">
        <f t="shared" ref="K159:K166" si="40">AVERAGE(G159:J159)</f>
        <v>2.5604113561669322</v>
      </c>
      <c r="L159" s="170">
        <f t="shared" ref="L159:L166" si="41">-10*LOG10((1/(K159^2)))</f>
        <v>8.1661948950001069</v>
      </c>
      <c r="M159" s="135"/>
      <c r="N159" s="135"/>
      <c r="O159" s="135"/>
      <c r="P159" s="136"/>
      <c r="R159" s="80" t="s">
        <v>211</v>
      </c>
      <c r="S159" s="99" t="s">
        <v>207</v>
      </c>
      <c r="T159" s="79">
        <v>2</v>
      </c>
      <c r="U159" s="79">
        <f>3*((D170-$L$167)^2+(D171-$L$167)^2+(D172-$L$167)^2)</f>
        <v>1.5761781512278934</v>
      </c>
      <c r="V159" s="79">
        <f>U159/T159</f>
        <v>0.7880890756139467</v>
      </c>
      <c r="W159" s="79"/>
      <c r="X159" s="52"/>
      <c r="Y159" s="79">
        <f t="shared" si="39"/>
        <v>0.80549616118921286</v>
      </c>
    </row>
    <row r="160" spans="1:25">
      <c r="A160" s="134"/>
      <c r="B160" s="148">
        <v>3</v>
      </c>
      <c r="C160" s="169" t="s">
        <v>122</v>
      </c>
      <c r="D160" s="52" t="s">
        <v>127</v>
      </c>
      <c r="E160" s="52" t="s">
        <v>130</v>
      </c>
      <c r="F160" s="52">
        <v>770</v>
      </c>
      <c r="G160" s="80">
        <v>0.95999999999999985</v>
      </c>
      <c r="H160" s="80">
        <v>0.68306010928961747</v>
      </c>
      <c r="I160" s="80">
        <v>0.61224489795918358</v>
      </c>
      <c r="J160" s="80">
        <v>0.73999999999999988</v>
      </c>
      <c r="K160" s="80">
        <f t="shared" si="40"/>
        <v>0.74882625181220019</v>
      </c>
      <c r="L160" s="170">
        <f t="shared" si="41"/>
        <v>-2.5123787763890926</v>
      </c>
      <c r="M160" s="135"/>
      <c r="N160" s="135"/>
      <c r="O160" s="135"/>
      <c r="P160" s="136"/>
      <c r="R160" s="80" t="s">
        <v>211</v>
      </c>
      <c r="S160" s="52" t="s">
        <v>205</v>
      </c>
      <c r="T160" s="79">
        <v>2</v>
      </c>
      <c r="U160" s="79">
        <f>3*((E170-$L$167)^2+(E171-$L$167)^2+(E172-$L$167)^2)</f>
        <v>0.20741787477448914</v>
      </c>
      <c r="V160" s="79">
        <f>U160/T160</f>
        <v>0.10370893738724457</v>
      </c>
      <c r="W160" s="79"/>
      <c r="X160" s="82"/>
      <c r="Y160" s="79">
        <f t="shared" si="39"/>
        <v>0.10599963066530239</v>
      </c>
    </row>
    <row r="161" spans="1:25">
      <c r="A161" s="134"/>
      <c r="B161" s="148">
        <v>4</v>
      </c>
      <c r="C161" s="169" t="s">
        <v>123</v>
      </c>
      <c r="D161" s="52" t="s">
        <v>125</v>
      </c>
      <c r="E161" s="52" t="s">
        <v>129</v>
      </c>
      <c r="F161" s="52">
        <v>770</v>
      </c>
      <c r="G161" s="80">
        <v>2.5604166666666668</v>
      </c>
      <c r="H161" s="80">
        <v>2.3250000000000002</v>
      </c>
      <c r="I161" s="80">
        <v>2.2474226804123711</v>
      </c>
      <c r="J161" s="80">
        <v>2</v>
      </c>
      <c r="K161" s="80">
        <f t="shared" si="40"/>
        <v>2.2832098367697595</v>
      </c>
      <c r="L161" s="170">
        <f t="shared" si="41"/>
        <v>7.170916536974361</v>
      </c>
      <c r="M161" s="135"/>
      <c r="N161" s="135"/>
      <c r="O161" s="135"/>
      <c r="P161" s="136"/>
      <c r="R161" s="80"/>
      <c r="S161" s="52" t="s">
        <v>158</v>
      </c>
      <c r="T161" s="52">
        <f>SUM(T158:T160)</f>
        <v>6</v>
      </c>
      <c r="U161" s="52">
        <f>SUM(U159:U160)</f>
        <v>1.7835960260023827</v>
      </c>
      <c r="V161" s="52">
        <f>SUM(V159:V160)</f>
        <v>0.89179801300119133</v>
      </c>
      <c r="W161" s="52"/>
      <c r="X161" s="52"/>
      <c r="Y161" s="79"/>
    </row>
    <row r="162" spans="1:25">
      <c r="A162" s="134"/>
      <c r="B162" s="148">
        <v>5</v>
      </c>
      <c r="C162" s="169" t="s">
        <v>123</v>
      </c>
      <c r="D162" s="52" t="s">
        <v>126</v>
      </c>
      <c r="E162" s="52" t="s">
        <v>130</v>
      </c>
      <c r="F162" s="52">
        <v>690</v>
      </c>
      <c r="G162" s="80">
        <v>0.74257425742574246</v>
      </c>
      <c r="H162" s="80">
        <v>0.91089108910891081</v>
      </c>
      <c r="I162" s="80">
        <v>0.8979591836734695</v>
      </c>
      <c r="J162" s="80"/>
      <c r="K162" s="80">
        <f t="shared" si="40"/>
        <v>0.85047484340270751</v>
      </c>
      <c r="L162" s="170">
        <f t="shared" si="41"/>
        <v>-1.4067705612626791</v>
      </c>
      <c r="M162" s="135"/>
      <c r="N162" s="135"/>
      <c r="O162" s="135"/>
      <c r="P162" s="136"/>
      <c r="R162" s="80"/>
      <c r="S162" s="98" t="s">
        <v>159</v>
      </c>
      <c r="T162" s="79">
        <v>8</v>
      </c>
      <c r="U162" s="79">
        <f>SUM(U157:U161)</f>
        <v>195.67792215184073</v>
      </c>
      <c r="V162" s="80"/>
      <c r="W162" s="80"/>
      <c r="X162" s="80"/>
      <c r="Y162" s="79">
        <f>U162*100/$U$162</f>
        <v>100</v>
      </c>
    </row>
    <row r="163" spans="1:25">
      <c r="A163" s="134"/>
      <c r="B163" s="148">
        <v>6</v>
      </c>
      <c r="C163" s="169" t="s">
        <v>123</v>
      </c>
      <c r="D163" s="52" t="s">
        <v>127</v>
      </c>
      <c r="E163" s="52" t="s">
        <v>128</v>
      </c>
      <c r="F163" s="52">
        <v>730</v>
      </c>
      <c r="G163" s="80">
        <v>1.5197568389057752</v>
      </c>
      <c r="H163" s="80"/>
      <c r="I163" s="80"/>
      <c r="J163" s="80"/>
      <c r="K163" s="80">
        <f t="shared" si="40"/>
        <v>1.5197568389057752</v>
      </c>
      <c r="L163" s="170">
        <f t="shared" si="41"/>
        <v>3.6354821277208904</v>
      </c>
      <c r="M163" s="135"/>
      <c r="N163" s="135"/>
      <c r="O163" s="135"/>
      <c r="P163" s="136"/>
      <c r="R163" s="26" t="s">
        <v>212</v>
      </c>
    </row>
    <row r="164" spans="1:25">
      <c r="A164" s="134"/>
      <c r="B164" s="148">
        <v>7</v>
      </c>
      <c r="C164" s="169" t="s">
        <v>124</v>
      </c>
      <c r="D164" s="52" t="s">
        <v>125</v>
      </c>
      <c r="E164" s="52" t="s">
        <v>130</v>
      </c>
      <c r="F164" s="52">
        <v>730</v>
      </c>
      <c r="G164" s="80">
        <v>0.58044806517311598</v>
      </c>
      <c r="H164" s="80">
        <v>0.89285714285714279</v>
      </c>
      <c r="I164" s="80">
        <v>0.71283095723014245</v>
      </c>
      <c r="J164" s="80"/>
      <c r="K164" s="80">
        <f t="shared" si="40"/>
        <v>0.72871205508680037</v>
      </c>
      <c r="L164" s="170">
        <f t="shared" si="41"/>
        <v>-2.7488809176042936</v>
      </c>
      <c r="M164" s="135"/>
      <c r="N164" s="135"/>
      <c r="O164" s="135"/>
      <c r="P164" s="136"/>
    </row>
    <row r="165" spans="1:25">
      <c r="A165" s="134"/>
      <c r="B165" s="148">
        <v>8</v>
      </c>
      <c r="C165" s="169" t="s">
        <v>124</v>
      </c>
      <c r="D165" s="52" t="s">
        <v>126</v>
      </c>
      <c r="E165" s="52" t="s">
        <v>128</v>
      </c>
      <c r="F165" s="52">
        <v>770</v>
      </c>
      <c r="G165" s="80">
        <v>1.2244897959183672</v>
      </c>
      <c r="H165" s="80">
        <v>1.8867924528301883</v>
      </c>
      <c r="I165" s="80">
        <v>1.517094017094017</v>
      </c>
      <c r="J165" s="80"/>
      <c r="K165" s="80">
        <f t="shared" si="40"/>
        <v>1.5427920886141908</v>
      </c>
      <c r="L165" s="170">
        <f t="shared" si="41"/>
        <v>3.7661480630451019</v>
      </c>
      <c r="M165" s="135"/>
      <c r="N165" s="135"/>
      <c r="O165" s="135"/>
      <c r="P165" s="136"/>
    </row>
    <row r="166" spans="1:25" ht="15.75" thickBot="1">
      <c r="A166" s="134"/>
      <c r="B166" s="149">
        <v>9</v>
      </c>
      <c r="C166" s="171" t="s">
        <v>124</v>
      </c>
      <c r="D166" s="172" t="s">
        <v>127</v>
      </c>
      <c r="E166" s="172" t="s">
        <v>129</v>
      </c>
      <c r="F166" s="172">
        <v>690</v>
      </c>
      <c r="G166" s="92">
        <v>3.0714285714285712</v>
      </c>
      <c r="H166" s="92">
        <v>3.9256198347107438</v>
      </c>
      <c r="I166" s="92">
        <v>3.0693069306930689</v>
      </c>
      <c r="J166" s="92"/>
      <c r="K166" s="92">
        <f t="shared" si="40"/>
        <v>3.3554517789441278</v>
      </c>
      <c r="L166" s="173">
        <f t="shared" si="41"/>
        <v>10.515020039389801</v>
      </c>
      <c r="M166" s="135"/>
      <c r="N166" s="135"/>
      <c r="O166" s="135"/>
      <c r="P166" s="136"/>
    </row>
    <row r="167" spans="1:25" ht="15.75" thickBot="1">
      <c r="A167" s="134"/>
      <c r="B167" s="135"/>
      <c r="C167" s="135"/>
      <c r="D167" s="135"/>
      <c r="E167" s="135"/>
      <c r="F167" s="135"/>
      <c r="G167" s="135"/>
      <c r="H167" s="135"/>
      <c r="I167" s="135"/>
      <c r="J167" s="135"/>
      <c r="K167" s="135"/>
      <c r="L167" s="93">
        <f>AVERAGE(L158:L166)</f>
        <v>3.7018476888295058</v>
      </c>
      <c r="M167" s="135"/>
      <c r="N167" s="135"/>
      <c r="O167" s="135"/>
      <c r="P167" s="136"/>
    </row>
    <row r="168" spans="1:25" ht="15.75" thickBot="1">
      <c r="A168" s="134"/>
      <c r="B168" s="135"/>
      <c r="C168" s="135"/>
      <c r="D168" s="174" t="s">
        <v>116</v>
      </c>
      <c r="E168" s="174" t="s">
        <v>116</v>
      </c>
      <c r="F168" s="174" t="s">
        <v>119</v>
      </c>
      <c r="G168" s="140" t="s">
        <v>121</v>
      </c>
      <c r="H168" s="135"/>
      <c r="I168" s="135"/>
      <c r="J168" s="135"/>
      <c r="K168" s="135"/>
      <c r="L168" s="135"/>
      <c r="M168" s="135"/>
      <c r="N168" s="135"/>
      <c r="O168" s="135"/>
      <c r="P168" s="136"/>
      <c r="S168" s="26" t="s">
        <v>166</v>
      </c>
      <c r="T168" s="26" t="s">
        <v>167</v>
      </c>
    </row>
    <row r="169" spans="1:25" ht="15.75" thickBot="1">
      <c r="A169" s="134"/>
      <c r="B169" s="135"/>
      <c r="C169" s="35" t="s">
        <v>144</v>
      </c>
      <c r="D169" s="145" t="s">
        <v>117</v>
      </c>
      <c r="E169" s="175" t="s">
        <v>118</v>
      </c>
      <c r="F169" s="175" t="s">
        <v>120</v>
      </c>
      <c r="G169" s="145"/>
      <c r="H169" s="135"/>
      <c r="I169" s="135"/>
      <c r="J169" s="135"/>
      <c r="K169" s="135"/>
      <c r="L169" s="135"/>
      <c r="M169" s="135"/>
      <c r="N169" s="135"/>
      <c r="O169" s="135"/>
      <c r="P169" s="136"/>
      <c r="S169" s="26">
        <f>(L158-$L$167)^2</f>
        <v>9.1751445310996633</v>
      </c>
      <c r="T169" s="26">
        <f>H158^2</f>
        <v>5.5776369397917618</v>
      </c>
      <c r="U169" s="26">
        <f>T169-$V$91</f>
        <v>-153.65143412689363</v>
      </c>
      <c r="V169" s="43">
        <f>((SUM(H158:H166))^2)/9</f>
        <v>25.52645183100687</v>
      </c>
      <c r="W169" s="26">
        <f>SUM(U158:U160)</f>
        <v>13.052854161438969</v>
      </c>
      <c r="X169" s="26">
        <f>(O156-$O$125)^2</f>
        <v>447.27800026275014</v>
      </c>
      <c r="Y169" s="26">
        <f>(H158-$H$89)^2</f>
        <v>43.137339244514401</v>
      </c>
    </row>
    <row r="170" spans="1:25">
      <c r="A170" s="134"/>
      <c r="B170" s="135"/>
      <c r="C170" s="154">
        <v>1</v>
      </c>
      <c r="D170" s="49">
        <f>AVERAGE(L158:L160)</f>
        <v>4.1282379704007894</v>
      </c>
      <c r="E170" s="50">
        <f>AVERAGE(L158,L161,L164)</f>
        <v>3.717644470653807</v>
      </c>
      <c r="F170" s="50">
        <f>AVERAGE(L158,L163,L165)</f>
        <v>4.7108426611191154</v>
      </c>
      <c r="G170" s="50">
        <f>AVERAGE(L158,L162,L166)</f>
        <v>5.2797157569061595</v>
      </c>
      <c r="H170" s="135"/>
      <c r="I170" s="135"/>
      <c r="J170" s="135"/>
      <c r="K170" s="135"/>
      <c r="L170" s="135"/>
      <c r="M170" s="135"/>
      <c r="N170" s="135"/>
      <c r="O170" s="135"/>
      <c r="P170" s="136"/>
      <c r="S170" s="26">
        <f t="shared" ref="S170:S177" si="42">(L159-$L$167)^2</f>
        <v>19.930395977243247</v>
      </c>
      <c r="T170" s="26">
        <f t="shared" ref="T170:T177" si="43">H159^2</f>
        <v>4.7140659254448876</v>
      </c>
      <c r="U170" s="26">
        <f t="shared" ref="U170:U177" si="44">T170-$V$91</f>
        <v>-154.51500514124052</v>
      </c>
      <c r="W170" s="151"/>
      <c r="X170" s="26">
        <f t="shared" ref="X170:X177" si="45">(O157-$O$125)^2</f>
        <v>447.27800026275014</v>
      </c>
      <c r="Y170" s="26">
        <f t="shared" ref="Y170:Y177" si="46">(H159-$H$89)^2</f>
        <v>40.671103806120129</v>
      </c>
    </row>
    <row r="171" spans="1:25">
      <c r="A171" s="134"/>
      <c r="B171" s="135"/>
      <c r="C171" s="154">
        <v>2</v>
      </c>
      <c r="D171" s="51">
        <f>AVERAGE(L161:L163)</f>
        <v>3.1332093678108577</v>
      </c>
      <c r="E171" s="52">
        <f>AVERAGE(L159,L162,L165)</f>
        <v>3.5085241322608431</v>
      </c>
      <c r="F171" s="52">
        <f>AVERAGE(L159,L161,L166)</f>
        <v>8.6173771571214228</v>
      </c>
      <c r="G171" s="52">
        <f>AVERAGE(L159,L163,L164)</f>
        <v>3.0175987017055683</v>
      </c>
      <c r="H171" s="135"/>
      <c r="I171" s="135"/>
      <c r="J171" s="135"/>
      <c r="K171" s="135"/>
      <c r="L171" s="135"/>
      <c r="M171" s="135"/>
      <c r="N171" s="135"/>
      <c r="O171" s="135"/>
      <c r="P171" s="136"/>
      <c r="S171" s="26">
        <f t="shared" si="42"/>
        <v>38.616610561023229</v>
      </c>
      <c r="T171" s="26">
        <f t="shared" si="43"/>
        <v>0.46657111290274417</v>
      </c>
      <c r="U171" s="26">
        <f t="shared" si="44"/>
        <v>-158.76249995378265</v>
      </c>
      <c r="W171" s="26">
        <f t="shared" ref="W171:W180" si="47">K158^2</f>
        <v>4.7107469895880492</v>
      </c>
      <c r="X171" s="26">
        <f t="shared" si="45"/>
        <v>447.27800026275014</v>
      </c>
      <c r="Y171" s="26">
        <f t="shared" si="46"/>
        <v>23.904865075843901</v>
      </c>
    </row>
    <row r="172" spans="1:25">
      <c r="A172" s="134"/>
      <c r="B172" s="135"/>
      <c r="C172" s="154">
        <v>3</v>
      </c>
      <c r="D172" s="51">
        <f>AVERAGE(L164:L166)</f>
        <v>3.8440957282768697</v>
      </c>
      <c r="E172" s="52">
        <f>AVERAGE(L160,L163,L166)</f>
        <v>3.8793744635738663</v>
      </c>
      <c r="F172" s="52">
        <f>AVERAGE(L160,L162,L164)</f>
        <v>-2.2226767517520218</v>
      </c>
      <c r="G172" s="52">
        <f>AVERAGE(L160,L161,L165)</f>
        <v>2.80822860787679</v>
      </c>
      <c r="H172" s="135"/>
      <c r="I172" s="135"/>
      <c r="J172" s="135"/>
      <c r="K172" s="135"/>
      <c r="L172" s="135"/>
      <c r="M172" s="135"/>
      <c r="N172" s="135"/>
      <c r="O172" s="135"/>
      <c r="P172" s="136"/>
      <c r="S172" s="26">
        <f t="shared" si="42"/>
        <v>12.034438673169072</v>
      </c>
      <c r="T172" s="26">
        <f t="shared" si="43"/>
        <v>5.4056250000000006</v>
      </c>
      <c r="U172" s="26">
        <f t="shared" si="44"/>
        <v>-153.82344606668539</v>
      </c>
      <c r="W172" s="26">
        <f t="shared" si="47"/>
        <v>6.5557063127885886</v>
      </c>
      <c r="X172" s="26">
        <f t="shared" si="45"/>
        <v>447.27800026275014</v>
      </c>
      <c r="Y172" s="26">
        <f t="shared" si="46"/>
        <v>42.656574321048183</v>
      </c>
    </row>
    <row r="173" spans="1:25" ht="15.75" thickBot="1">
      <c r="A173" s="134"/>
      <c r="B173" s="135"/>
      <c r="C173" s="155" t="s">
        <v>145</v>
      </c>
      <c r="D173" s="54">
        <f>MAX(D170:D172)-MIN(D170:D172)</f>
        <v>0.99502860258993175</v>
      </c>
      <c r="E173" s="55">
        <f t="shared" ref="E173:G173" si="48">MAX(E170:E172)-MIN(E170:E172)</f>
        <v>0.37085033131302314</v>
      </c>
      <c r="F173" s="55">
        <f t="shared" si="48"/>
        <v>10.840053908873445</v>
      </c>
      <c r="G173" s="55">
        <f t="shared" si="48"/>
        <v>2.4714871490293695</v>
      </c>
      <c r="H173" s="135"/>
      <c r="I173" s="135"/>
      <c r="J173" s="135"/>
      <c r="K173" s="135"/>
      <c r="L173" s="135"/>
      <c r="M173" s="135"/>
      <c r="N173" s="135"/>
      <c r="O173" s="135"/>
      <c r="P173" s="136"/>
      <c r="S173" s="26">
        <f t="shared" si="42"/>
        <v>26.097980425174939</v>
      </c>
      <c r="T173" s="26">
        <f t="shared" si="43"/>
        <v>0.8297225762180177</v>
      </c>
      <c r="U173" s="26">
        <f t="shared" si="44"/>
        <v>-158.39934849046739</v>
      </c>
      <c r="W173" s="26">
        <f t="shared" si="47"/>
        <v>0.56074075540310864</v>
      </c>
      <c r="X173" s="26">
        <f t="shared" si="45"/>
        <v>447.27800026275014</v>
      </c>
      <c r="Y173" s="26">
        <f t="shared" si="46"/>
        <v>26.184621904525024</v>
      </c>
    </row>
    <row r="174" spans="1:25" ht="15.75" thickBot="1">
      <c r="A174" s="134"/>
      <c r="B174" s="135"/>
      <c r="C174" s="176" t="s">
        <v>146</v>
      </c>
      <c r="D174" s="146">
        <f>RANK(D173,D173:G173)</f>
        <v>3</v>
      </c>
      <c r="E174" s="146">
        <f>RANK(E173,D173:G173)</f>
        <v>4</v>
      </c>
      <c r="F174" s="146">
        <f>RANK(F173,D173:G173)</f>
        <v>1</v>
      </c>
      <c r="G174" s="147">
        <f>RANK(G173,D173:G173)</f>
        <v>2</v>
      </c>
      <c r="H174" s="135"/>
      <c r="I174" s="135"/>
      <c r="J174" s="135"/>
      <c r="K174" s="135"/>
      <c r="L174" s="135"/>
      <c r="M174" s="135"/>
      <c r="N174" s="135"/>
      <c r="O174" s="135"/>
      <c r="P174" s="136"/>
      <c r="S174" s="26">
        <f t="shared" si="42"/>
        <v>4.4043877012613589E-3</v>
      </c>
      <c r="T174" s="26">
        <f t="shared" si="43"/>
        <v>0</v>
      </c>
      <c r="U174" s="26">
        <f t="shared" si="44"/>
        <v>-159.22907106668541</v>
      </c>
      <c r="W174" s="26">
        <f t="shared" si="47"/>
        <v>5.2130471587221923</v>
      </c>
      <c r="X174" s="26">
        <f t="shared" si="45"/>
        <v>447.27800026275014</v>
      </c>
      <c r="Y174" s="26">
        <f t="shared" si="46"/>
        <v>17.692119007409488</v>
      </c>
    </row>
    <row r="175" spans="1:25">
      <c r="A175" s="134"/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6"/>
      <c r="S175" s="26">
        <f t="shared" si="42"/>
        <v>41.611899553863346</v>
      </c>
      <c r="T175" s="26">
        <f t="shared" si="43"/>
        <v>0.79719387755102034</v>
      </c>
      <c r="U175" s="26">
        <f t="shared" si="44"/>
        <v>-158.43187718913438</v>
      </c>
      <c r="W175" s="26">
        <f t="shared" si="47"/>
        <v>0.72330745926085982</v>
      </c>
      <c r="X175" s="26">
        <f t="shared" si="45"/>
        <v>447.27800026275014</v>
      </c>
      <c r="Y175" s="26">
        <f t="shared" si="46"/>
        <v>26.000384433976908</v>
      </c>
    </row>
    <row r="176" spans="1:25">
      <c r="A176" s="134"/>
      <c r="B176" s="135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6"/>
      <c r="S176" s="26">
        <f t="shared" si="42"/>
        <v>4.1345381242656942E-3</v>
      </c>
      <c r="T176" s="26">
        <f t="shared" si="43"/>
        <v>3.559985760056958</v>
      </c>
      <c r="U176" s="26">
        <f t="shared" si="44"/>
        <v>-155.66908530662846</v>
      </c>
      <c r="W176" s="26">
        <f t="shared" si="47"/>
        <v>2.3096608494008741</v>
      </c>
      <c r="X176" s="26">
        <f t="shared" si="45"/>
        <v>447.27800026275014</v>
      </c>
      <c r="Y176" s="26">
        <f t="shared" si="46"/>
        <v>37.124557852180331</v>
      </c>
    </row>
    <row r="177" spans="1:25">
      <c r="A177" s="134"/>
      <c r="B177" s="135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6"/>
      <c r="S177" s="26">
        <f t="shared" si="42"/>
        <v>46.419317478439297</v>
      </c>
      <c r="T177" s="26">
        <f t="shared" si="43"/>
        <v>15.410491086674408</v>
      </c>
      <c r="U177" s="26">
        <f t="shared" si="44"/>
        <v>-143.81857998001101</v>
      </c>
      <c r="W177" s="26">
        <f t="shared" si="47"/>
        <v>0.53102125922882792</v>
      </c>
      <c r="X177" s="26">
        <f t="shared" si="45"/>
        <v>447.27800026275014</v>
      </c>
      <c r="Y177" s="26">
        <f t="shared" si="46"/>
        <v>66.126494921164237</v>
      </c>
    </row>
    <row r="178" spans="1:25">
      <c r="A178" s="134"/>
      <c r="B178" s="135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6"/>
      <c r="S178" s="58">
        <f>SUM(S169:S177)</f>
        <v>193.89432612583832</v>
      </c>
      <c r="T178" s="58">
        <f>SUM(T169:T177)</f>
        <v>36.7612922786398</v>
      </c>
      <c r="U178" s="58">
        <f>SUM(U169:U177)</f>
        <v>-1396.3003473215288</v>
      </c>
      <c r="W178" s="26">
        <f t="shared" si="47"/>
        <v>2.3802074286905373</v>
      </c>
    </row>
    <row r="179" spans="1:25">
      <c r="A179" s="134"/>
      <c r="B179" s="135"/>
      <c r="C179" s="135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6"/>
      <c r="W179" s="26">
        <f t="shared" si="47"/>
        <v>11.259056640819312</v>
      </c>
      <c r="X179" s="151">
        <f>SUM(X169:X177)</f>
        <v>4025.5020023647512</v>
      </c>
      <c r="Y179" s="151">
        <f>SUM(Y169:Y177)</f>
        <v>323.49806056678261</v>
      </c>
    </row>
    <row r="180" spans="1:25">
      <c r="A180" s="134"/>
      <c r="B180" s="135"/>
      <c r="C180" s="135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6"/>
      <c r="W180" s="26">
        <f t="shared" si="47"/>
        <v>0</v>
      </c>
    </row>
    <row r="181" spans="1:25">
      <c r="A181" s="134"/>
      <c r="B181" s="135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6"/>
      <c r="W181" s="151">
        <f>SUM(W171:W180)</f>
        <v>34.243494853902348</v>
      </c>
    </row>
    <row r="182" spans="1:25">
      <c r="A182" s="134"/>
      <c r="B182" s="135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6"/>
    </row>
    <row r="183" spans="1:25">
      <c r="A183" s="134"/>
      <c r="B183" s="135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6"/>
    </row>
    <row r="184" spans="1:25">
      <c r="A184" s="134"/>
      <c r="B184" s="135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6"/>
    </row>
    <row r="185" spans="1:25">
      <c r="A185" s="134"/>
      <c r="B185" s="135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6"/>
    </row>
    <row r="186" spans="1:25">
      <c r="A186" s="134"/>
      <c r="B186" s="135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6"/>
    </row>
    <row r="187" spans="1:25">
      <c r="A187" s="134"/>
      <c r="B187" s="135"/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6"/>
    </row>
    <row r="188" spans="1:25">
      <c r="A188" s="134"/>
      <c r="B188" s="135"/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6"/>
    </row>
    <row r="189" spans="1:25">
      <c r="A189" s="134"/>
      <c r="B189" s="135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6"/>
    </row>
    <row r="190" spans="1:25">
      <c r="A190" s="134"/>
      <c r="B190" s="135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6"/>
    </row>
    <row r="191" spans="1:25">
      <c r="A191" s="134"/>
      <c r="B191" s="135"/>
      <c r="C191" s="135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6"/>
    </row>
    <row r="192" spans="1:25">
      <c r="A192" s="134"/>
      <c r="B192" s="135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6"/>
    </row>
    <row r="193" spans="1:25">
      <c r="A193" s="134"/>
      <c r="B193" s="135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6"/>
    </row>
    <row r="194" spans="1:25">
      <c r="A194" s="134"/>
      <c r="B194" s="135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6"/>
    </row>
    <row r="195" spans="1:25" ht="15.75" thickBot="1">
      <c r="A195" s="159"/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1"/>
    </row>
    <row r="196" spans="1:25">
      <c r="S196" s="26" t="s">
        <v>154</v>
      </c>
    </row>
    <row r="197" spans="1:25">
      <c r="S197" s="203" t="s">
        <v>29</v>
      </c>
      <c r="T197" s="204"/>
      <c r="U197" s="204"/>
      <c r="V197" s="204"/>
      <c r="W197" s="204"/>
      <c r="X197" s="204"/>
      <c r="Y197" s="205"/>
    </row>
    <row r="198" spans="1:25" ht="15.75" thickBot="1">
      <c r="A198" s="26" t="s">
        <v>114</v>
      </c>
      <c r="R198" s="141" t="s">
        <v>146</v>
      </c>
      <c r="S198" s="142" t="s">
        <v>155</v>
      </c>
      <c r="T198" s="142" t="s">
        <v>160</v>
      </c>
      <c r="U198" s="142" t="s">
        <v>161</v>
      </c>
      <c r="V198" s="142" t="s">
        <v>168</v>
      </c>
      <c r="W198" s="142" t="s">
        <v>235</v>
      </c>
      <c r="X198" s="142" t="s">
        <v>234</v>
      </c>
      <c r="Y198" s="142" t="s">
        <v>236</v>
      </c>
    </row>
    <row r="199" spans="1:25">
      <c r="A199" s="188"/>
      <c r="B199" s="131" t="s">
        <v>116</v>
      </c>
      <c r="C199" s="132" t="s">
        <v>116</v>
      </c>
      <c r="D199" s="132" t="s">
        <v>119</v>
      </c>
      <c r="E199" s="132" t="s">
        <v>121</v>
      </c>
      <c r="F199" s="198" t="s">
        <v>29</v>
      </c>
      <c r="G199" s="198"/>
      <c r="H199" s="198"/>
      <c r="I199" s="132"/>
      <c r="J199" s="132"/>
      <c r="K199" s="132"/>
      <c r="L199" s="132"/>
      <c r="M199" s="132"/>
      <c r="N199" s="132"/>
      <c r="O199" s="132"/>
      <c r="P199" s="133"/>
      <c r="R199" s="80">
        <v>1</v>
      </c>
      <c r="S199" s="98" t="s">
        <v>157</v>
      </c>
      <c r="T199" s="79">
        <v>2</v>
      </c>
      <c r="U199" s="79">
        <f>3*((G213-$P$210)^2+(G214-$P$210)^2+(G215-$P$210)^2)</f>
        <v>5.9600989650463658</v>
      </c>
      <c r="V199" s="79">
        <f>U199/T199</f>
        <v>2.9800494825231829</v>
      </c>
      <c r="W199" s="79">
        <f>V199/$V$203</f>
        <v>6.6901571001624447</v>
      </c>
      <c r="X199" s="85">
        <f>FDIST(W199,T199,$T$203)</f>
        <v>5.296692199140051E-2</v>
      </c>
      <c r="Y199" s="79">
        <f>U199*100/$U$204</f>
        <v>73.661222330281248</v>
      </c>
    </row>
    <row r="200" spans="1:25" ht="15.75" thickBot="1">
      <c r="A200" s="154" t="s">
        <v>115</v>
      </c>
      <c r="B200" s="159" t="s">
        <v>117</v>
      </c>
      <c r="C200" s="160" t="s">
        <v>118</v>
      </c>
      <c r="D200" s="160" t="s">
        <v>120</v>
      </c>
      <c r="E200" s="160"/>
      <c r="F200" s="44" t="s">
        <v>137</v>
      </c>
      <c r="G200" s="44"/>
      <c r="H200" s="44"/>
      <c r="I200" s="160"/>
      <c r="J200" s="160"/>
      <c r="K200" s="160"/>
      <c r="L200" s="160"/>
      <c r="M200" s="160"/>
      <c r="N200" s="160" t="s">
        <v>138</v>
      </c>
      <c r="O200" s="160" t="s">
        <v>139</v>
      </c>
      <c r="P200" s="161" t="s">
        <v>134</v>
      </c>
      <c r="R200" s="80">
        <v>3</v>
      </c>
      <c r="S200" s="99" t="s">
        <v>207</v>
      </c>
      <c r="T200" s="79">
        <v>2</v>
      </c>
      <c r="U200" s="79">
        <f>3*((E213-$P$210)^2+(E214-$P$210)^2+(E215-$P$210)^2)</f>
        <v>1.2402553107156149</v>
      </c>
      <c r="V200" s="79">
        <f>U200/T200</f>
        <v>0.62012765535780745</v>
      </c>
      <c r="W200" s="79">
        <f>V200/$V$203</f>
        <v>1.3921753517281907</v>
      </c>
      <c r="X200" s="85">
        <f>FDIST(W200,T200,$T$203)</f>
        <v>0.34761891766523717</v>
      </c>
      <c r="Y200" s="79">
        <f t="shared" ref="Y200:Y204" si="49">U200*100/$U$204</f>
        <v>15.328390136593015</v>
      </c>
    </row>
    <row r="201" spans="1:25">
      <c r="A201" s="154">
        <v>1</v>
      </c>
      <c r="B201" s="167" t="s">
        <v>122</v>
      </c>
      <c r="C201" s="168" t="s">
        <v>125</v>
      </c>
      <c r="D201" s="168" t="s">
        <v>128</v>
      </c>
      <c r="E201" s="168">
        <v>690</v>
      </c>
      <c r="F201" s="90">
        <v>3.4</v>
      </c>
      <c r="G201" s="90">
        <v>3.3</v>
      </c>
      <c r="H201" s="90">
        <v>3.4</v>
      </c>
      <c r="I201" s="90">
        <v>3.2</v>
      </c>
      <c r="J201" s="90">
        <v>3.3</v>
      </c>
      <c r="K201" s="90">
        <v>3.2</v>
      </c>
      <c r="L201" s="90">
        <v>3.4</v>
      </c>
      <c r="M201" s="90">
        <v>3.2</v>
      </c>
      <c r="N201" s="90">
        <f>AVERAGE(F201:M201)</f>
        <v>3.3</v>
      </c>
      <c r="O201" s="90">
        <f>500/((PI()*10/2)*((10)-(SQRT(10^2-N201^2))))</f>
        <v>56.821703325236015</v>
      </c>
      <c r="P201" s="91">
        <f>-10*LOG10((1/(O201^2)))</f>
        <v>35.090284965655705</v>
      </c>
      <c r="R201" s="80">
        <v>3</v>
      </c>
      <c r="S201" s="52" t="s">
        <v>237</v>
      </c>
      <c r="T201" s="79">
        <v>2</v>
      </c>
      <c r="U201" s="79">
        <f>3*((H213-$P$210)^2+(H214-$P$210)^2+(H215-$P$210)^2)</f>
        <v>0.26701548170770661</v>
      </c>
      <c r="V201" s="79">
        <f>U201/T201</f>
        <v>0.13350774085385331</v>
      </c>
      <c r="W201" s="79"/>
      <c r="X201" s="85"/>
      <c r="Y201" s="79">
        <f t="shared" si="49"/>
        <v>3.3000604317222964</v>
      </c>
    </row>
    <row r="202" spans="1:25">
      <c r="A202" s="154">
        <v>2</v>
      </c>
      <c r="B202" s="169" t="s">
        <v>122</v>
      </c>
      <c r="C202" s="52" t="s">
        <v>126</v>
      </c>
      <c r="D202" s="52" t="s">
        <v>129</v>
      </c>
      <c r="E202" s="52">
        <v>730</v>
      </c>
      <c r="F202" s="80">
        <v>3.5</v>
      </c>
      <c r="G202" s="80">
        <v>3.6</v>
      </c>
      <c r="H202" s="80">
        <v>3.5</v>
      </c>
      <c r="I202" s="80">
        <v>3.7</v>
      </c>
      <c r="J202" s="80"/>
      <c r="K202" s="80"/>
      <c r="L202" s="80"/>
      <c r="M202" s="80"/>
      <c r="N202" s="80">
        <f t="shared" ref="N202:N209" si="50">AVERAGE(F202:M202)</f>
        <v>3.5750000000000002</v>
      </c>
      <c r="O202" s="80">
        <f t="shared" ref="O202:O209" si="51">500/((PI()*10/2)*((10)-(SQRT(10^2-N202^2))))</f>
        <v>48.165380876167376</v>
      </c>
      <c r="P202" s="170">
        <f t="shared" ref="P202:P208" si="52">-10*LOG10((1/(O202^2)))</f>
        <v>33.654699977905636</v>
      </c>
      <c r="R202" s="80">
        <v>4</v>
      </c>
      <c r="S202" s="52" t="s">
        <v>238</v>
      </c>
      <c r="T202" s="79">
        <v>2</v>
      </c>
      <c r="U202" s="79">
        <f>3*((F213-$P$210)^2+(F214-$P$210)^2+(F215-$P$210)^2)</f>
        <v>0.62386030428865624</v>
      </c>
      <c r="V202" s="79">
        <f>U202/T202</f>
        <v>0.31193015214432812</v>
      </c>
      <c r="W202" s="79"/>
      <c r="X202" s="85"/>
      <c r="Y202" s="79">
        <f t="shared" si="49"/>
        <v>7.7103271014034442</v>
      </c>
    </row>
    <row r="203" spans="1:25">
      <c r="A203" s="154">
        <v>3</v>
      </c>
      <c r="B203" s="169" t="s">
        <v>122</v>
      </c>
      <c r="C203" s="52" t="s">
        <v>127</v>
      </c>
      <c r="D203" s="52" t="s">
        <v>130</v>
      </c>
      <c r="E203" s="52">
        <v>770</v>
      </c>
      <c r="F203" s="80">
        <v>3</v>
      </c>
      <c r="G203" s="80">
        <v>3.2</v>
      </c>
      <c r="H203" s="80">
        <v>3.3</v>
      </c>
      <c r="I203" s="80">
        <v>3.3</v>
      </c>
      <c r="J203" s="80"/>
      <c r="K203" s="80"/>
      <c r="L203" s="80"/>
      <c r="M203" s="80"/>
      <c r="N203" s="80">
        <f t="shared" si="50"/>
        <v>3.2</v>
      </c>
      <c r="O203" s="80">
        <f t="shared" si="51"/>
        <v>60.535376595011428</v>
      </c>
      <c r="P203" s="170">
        <f t="shared" si="52"/>
        <v>35.640184970683343</v>
      </c>
      <c r="R203" s="80"/>
      <c r="S203" s="83" t="s">
        <v>158</v>
      </c>
      <c r="T203" s="76">
        <v>4</v>
      </c>
      <c r="U203" s="52">
        <f>U202+U201</f>
        <v>0.89087578599636286</v>
      </c>
      <c r="V203" s="52">
        <f>V202+V201</f>
        <v>0.44543789299818143</v>
      </c>
      <c r="W203" s="80"/>
      <c r="X203" s="80"/>
      <c r="Y203" s="79">
        <f t="shared" si="49"/>
        <v>11.010387533125741</v>
      </c>
    </row>
    <row r="204" spans="1:25">
      <c r="A204" s="154">
        <v>4</v>
      </c>
      <c r="B204" s="169" t="s">
        <v>123</v>
      </c>
      <c r="C204" s="52" t="s">
        <v>125</v>
      </c>
      <c r="D204" s="52" t="s">
        <v>129</v>
      </c>
      <c r="E204" s="52">
        <v>770</v>
      </c>
      <c r="F204" s="80">
        <v>3.6</v>
      </c>
      <c r="G204" s="80">
        <v>3.5</v>
      </c>
      <c r="H204" s="80">
        <v>3.6</v>
      </c>
      <c r="I204" s="80">
        <v>3.5</v>
      </c>
      <c r="J204" s="80"/>
      <c r="K204" s="80"/>
      <c r="L204" s="80"/>
      <c r="M204" s="80"/>
      <c r="N204" s="80">
        <f t="shared" si="50"/>
        <v>3.55</v>
      </c>
      <c r="O204" s="80">
        <f t="shared" si="51"/>
        <v>48.87022986909416</v>
      </c>
      <c r="P204" s="170">
        <f t="shared" si="52"/>
        <v>33.780887636157615</v>
      </c>
      <c r="R204" s="80"/>
      <c r="S204" s="98" t="s">
        <v>159</v>
      </c>
      <c r="T204" s="79">
        <v>8</v>
      </c>
      <c r="U204" s="79">
        <f>SUM(U199:U202)</f>
        <v>8.0912300617583437</v>
      </c>
      <c r="V204" s="80"/>
      <c r="W204" s="80"/>
      <c r="X204" s="80"/>
      <c r="Y204" s="79">
        <f t="shared" si="49"/>
        <v>100</v>
      </c>
    </row>
    <row r="205" spans="1:25">
      <c r="A205" s="154">
        <v>5</v>
      </c>
      <c r="B205" s="169" t="s">
        <v>123</v>
      </c>
      <c r="C205" s="52" t="s">
        <v>126</v>
      </c>
      <c r="D205" s="52" t="s">
        <v>130</v>
      </c>
      <c r="E205" s="52">
        <v>690</v>
      </c>
      <c r="F205" s="80">
        <v>3.1</v>
      </c>
      <c r="G205" s="80">
        <v>3.1</v>
      </c>
      <c r="H205" s="80">
        <v>3.1</v>
      </c>
      <c r="I205" s="80">
        <v>3</v>
      </c>
      <c r="J205" s="80"/>
      <c r="K205" s="80"/>
      <c r="L205" s="80"/>
      <c r="M205" s="80"/>
      <c r="N205" s="80">
        <f t="shared" si="50"/>
        <v>3.0750000000000002</v>
      </c>
      <c r="O205" s="80">
        <f t="shared" si="51"/>
        <v>65.696032517072055</v>
      </c>
      <c r="P205" s="170">
        <f t="shared" si="52"/>
        <v>36.350782853000617</v>
      </c>
    </row>
    <row r="206" spans="1:25">
      <c r="A206" s="154">
        <v>6</v>
      </c>
      <c r="B206" s="169" t="s">
        <v>123</v>
      </c>
      <c r="C206" s="52" t="s">
        <v>127</v>
      </c>
      <c r="D206" s="52" t="s">
        <v>128</v>
      </c>
      <c r="E206" s="52">
        <v>730</v>
      </c>
      <c r="F206" s="80">
        <v>3.2</v>
      </c>
      <c r="G206" s="80">
        <v>3.3</v>
      </c>
      <c r="H206" s="80">
        <v>3.1</v>
      </c>
      <c r="I206" s="80">
        <v>3.2</v>
      </c>
      <c r="J206" s="80"/>
      <c r="K206" s="80"/>
      <c r="L206" s="80"/>
      <c r="M206" s="80"/>
      <c r="N206" s="80">
        <f t="shared" si="50"/>
        <v>3.2</v>
      </c>
      <c r="O206" s="80">
        <f t="shared" si="51"/>
        <v>60.535376595011428</v>
      </c>
      <c r="P206" s="170">
        <f t="shared" si="52"/>
        <v>35.640184970683343</v>
      </c>
    </row>
    <row r="207" spans="1:25">
      <c r="A207" s="154">
        <v>7</v>
      </c>
      <c r="B207" s="169" t="s">
        <v>124</v>
      </c>
      <c r="C207" s="52" t="s">
        <v>125</v>
      </c>
      <c r="D207" s="52" t="s">
        <v>130</v>
      </c>
      <c r="E207" s="52">
        <v>730</v>
      </c>
      <c r="F207" s="80">
        <v>3.4</v>
      </c>
      <c r="G207" s="80">
        <v>3.3</v>
      </c>
      <c r="H207" s="80">
        <v>3.5</v>
      </c>
      <c r="I207" s="80">
        <v>3.5</v>
      </c>
      <c r="J207" s="80"/>
      <c r="K207" s="80"/>
      <c r="L207" s="80"/>
      <c r="M207" s="80"/>
      <c r="N207" s="80">
        <f t="shared" si="50"/>
        <v>3.4249999999999998</v>
      </c>
      <c r="O207" s="80">
        <f t="shared" si="51"/>
        <v>52.628713238170867</v>
      </c>
      <c r="P207" s="170">
        <f t="shared" si="52"/>
        <v>34.424455034625026</v>
      </c>
    </row>
    <row r="208" spans="1:25">
      <c r="A208" s="154">
        <v>8</v>
      </c>
      <c r="B208" s="169" t="s">
        <v>124</v>
      </c>
      <c r="C208" s="52" t="s">
        <v>126</v>
      </c>
      <c r="D208" s="52" t="s">
        <v>128</v>
      </c>
      <c r="E208" s="52">
        <v>770</v>
      </c>
      <c r="F208" s="80">
        <v>3.3</v>
      </c>
      <c r="G208" s="80">
        <v>3.4</v>
      </c>
      <c r="H208" s="80">
        <v>3.1</v>
      </c>
      <c r="I208" s="80">
        <v>3.4</v>
      </c>
      <c r="J208" s="80"/>
      <c r="K208" s="80"/>
      <c r="L208" s="80"/>
      <c r="M208" s="80"/>
      <c r="N208" s="80">
        <f t="shared" si="50"/>
        <v>3.3</v>
      </c>
      <c r="O208" s="80">
        <f t="shared" si="51"/>
        <v>56.821703325236015</v>
      </c>
      <c r="P208" s="170">
        <f t="shared" si="52"/>
        <v>35.090284965655705</v>
      </c>
    </row>
    <row r="209" spans="1:25" ht="15.75" thickBot="1">
      <c r="A209" s="156">
        <v>9</v>
      </c>
      <c r="B209" s="171" t="s">
        <v>124</v>
      </c>
      <c r="C209" s="172" t="s">
        <v>127</v>
      </c>
      <c r="D209" s="172" t="s">
        <v>129</v>
      </c>
      <c r="E209" s="172">
        <v>690</v>
      </c>
      <c r="F209" s="92">
        <v>3.5</v>
      </c>
      <c r="G209" s="92">
        <v>3.7</v>
      </c>
      <c r="H209" s="92">
        <v>3.5</v>
      </c>
      <c r="I209" s="92">
        <v>3.7</v>
      </c>
      <c r="J209" s="92"/>
      <c r="K209" s="92"/>
      <c r="L209" s="92"/>
      <c r="M209" s="92"/>
      <c r="N209" s="92">
        <f t="shared" si="50"/>
        <v>3.5999999999999996</v>
      </c>
      <c r="O209" s="92">
        <f t="shared" si="51"/>
        <v>47.475141020247683</v>
      </c>
      <c r="P209" s="173">
        <f>-10*LOG10((1/(O209^2)))</f>
        <v>33.529325268802246</v>
      </c>
    </row>
    <row r="210" spans="1:25" ht="15.75" thickBot="1">
      <c r="P210" s="93">
        <f>AVERAGE(P201:P209)</f>
        <v>34.800121182574365</v>
      </c>
      <c r="S210" s="26" t="s">
        <v>166</v>
      </c>
      <c r="T210" s="26" t="s">
        <v>167</v>
      </c>
    </row>
    <row r="211" spans="1:25" ht="15.75" thickBot="1">
      <c r="D211" s="135"/>
      <c r="E211" s="174" t="s">
        <v>116</v>
      </c>
      <c r="F211" s="174" t="s">
        <v>116</v>
      </c>
      <c r="G211" s="174" t="s">
        <v>119</v>
      </c>
      <c r="H211" s="140" t="s">
        <v>121</v>
      </c>
      <c r="S211" s="26">
        <f>(P201-$P$210)^2</f>
        <v>8.4195021012074905E-2</v>
      </c>
      <c r="T211" s="26">
        <f>H200^2</f>
        <v>0</v>
      </c>
      <c r="U211" s="26">
        <f>T211-$V$91</f>
        <v>-159.22907106668541</v>
      </c>
      <c r="V211" s="43">
        <f>((SUM(H200:H208))^2)/9</f>
        <v>78.617777777777789</v>
      </c>
      <c r="W211" s="26">
        <f>SUM(U199:U201)</f>
        <v>7.4673697574696876</v>
      </c>
      <c r="X211" s="26">
        <f>(O198-$O$125)^2</f>
        <v>447.27800026275014</v>
      </c>
      <c r="Y211" s="26">
        <f>(H200-$H$89)^2</f>
        <v>17.692119007409488</v>
      </c>
    </row>
    <row r="212" spans="1:25" ht="15.75" thickBot="1">
      <c r="D212" s="35" t="s">
        <v>144</v>
      </c>
      <c r="E212" s="145" t="s">
        <v>117</v>
      </c>
      <c r="F212" s="175" t="s">
        <v>118</v>
      </c>
      <c r="G212" s="175" t="s">
        <v>120</v>
      </c>
      <c r="H212" s="145"/>
      <c r="S212" s="26">
        <f t="shared" ref="S212:S219" si="53">(P202-$P$210)^2</f>
        <v>1.3119897361047621</v>
      </c>
      <c r="T212" s="26">
        <f t="shared" ref="T212:T219" si="54">H201^2</f>
        <v>11.559999999999999</v>
      </c>
      <c r="U212" s="26">
        <f t="shared" ref="U212:U219" si="55">T212-$V$91</f>
        <v>-147.6690710666854</v>
      </c>
      <c r="W212" s="151"/>
      <c r="X212" s="26">
        <f t="shared" ref="X212:X219" si="56">(O199-$O$125)^2</f>
        <v>447.27800026275014</v>
      </c>
      <c r="Y212" s="26">
        <f t="shared" ref="Y212:Y219" si="57">(H201-$H$89)^2</f>
        <v>57.854279466063907</v>
      </c>
    </row>
    <row r="213" spans="1:25">
      <c r="D213" s="154">
        <v>1</v>
      </c>
      <c r="E213" s="49">
        <f>AVERAGE(P201:P203)</f>
        <v>34.795056638081569</v>
      </c>
      <c r="F213" s="50">
        <f>AVERAGE(P201,P204,P207)</f>
        <v>34.431875878812782</v>
      </c>
      <c r="G213" s="50">
        <f>AVERAGE(P201,P206,P208)</f>
        <v>35.27358496733158</v>
      </c>
      <c r="H213" s="50">
        <f>AVERAGE(P201,P205,P209)</f>
        <v>34.990131029152856</v>
      </c>
      <c r="S213" s="26">
        <f t="shared" si="53"/>
        <v>0.70570716809200562</v>
      </c>
      <c r="T213" s="26">
        <f t="shared" si="54"/>
        <v>12.25</v>
      </c>
      <c r="U213" s="26">
        <f t="shared" si="55"/>
        <v>-146.97907106668541</v>
      </c>
      <c r="W213" s="26">
        <f t="shared" ref="W213:W222" si="58">K200^2</f>
        <v>0</v>
      </c>
      <c r="X213" s="26" t="e">
        <f t="shared" si="56"/>
        <v>#VALUE!</v>
      </c>
      <c r="Y213" s="26">
        <f t="shared" si="57"/>
        <v>59.38551947955375</v>
      </c>
    </row>
    <row r="214" spans="1:25">
      <c r="D214" s="154">
        <v>2</v>
      </c>
      <c r="E214" s="51">
        <f>AVERAGE(P204:P206)</f>
        <v>35.257285153280527</v>
      </c>
      <c r="F214" s="52">
        <f>AVERAGE(P202,P205,P208)</f>
        <v>35.031922598853988</v>
      </c>
      <c r="G214" s="52">
        <f>AVERAGE(P202,P204,P209)</f>
        <v>33.654970960955161</v>
      </c>
      <c r="H214" s="52">
        <f>AVERAGE(P202,P206,P207)</f>
        <v>34.573113327738007</v>
      </c>
      <c r="S214" s="26">
        <f t="shared" si="53"/>
        <v>1.0388370221412651</v>
      </c>
      <c r="T214" s="26">
        <f t="shared" si="54"/>
        <v>10.889999999999999</v>
      </c>
      <c r="U214" s="26">
        <f t="shared" si="55"/>
        <v>-148.33907106668542</v>
      </c>
      <c r="W214" s="26">
        <f t="shared" si="58"/>
        <v>10.240000000000002</v>
      </c>
      <c r="X214" s="26">
        <f t="shared" si="56"/>
        <v>6079.4224634953953</v>
      </c>
      <c r="Y214" s="26">
        <f t="shared" si="57"/>
        <v>56.343039452574075</v>
      </c>
    </row>
    <row r="215" spans="1:25">
      <c r="D215" s="154">
        <v>3</v>
      </c>
      <c r="E215" s="51">
        <f>AVERAGE(P207:P209)</f>
        <v>34.348021756360993</v>
      </c>
      <c r="F215" s="52">
        <f>AVERAGE(P203,P206,P209)</f>
        <v>34.936565070056311</v>
      </c>
      <c r="G215" s="52">
        <f>AVERAGE(P203,P205,P207)</f>
        <v>35.471807619436326</v>
      </c>
      <c r="H215" s="52">
        <f>AVERAGE(P203,P204,P208)</f>
        <v>34.837119190832226</v>
      </c>
      <c r="S215" s="26">
        <f t="shared" si="53"/>
        <v>2.4045516161291318</v>
      </c>
      <c r="T215" s="26">
        <f t="shared" si="54"/>
        <v>12.96</v>
      </c>
      <c r="U215" s="26">
        <f t="shared" si="55"/>
        <v>-146.2690710666854</v>
      </c>
      <c r="W215" s="26">
        <f t="shared" si="58"/>
        <v>0</v>
      </c>
      <c r="X215" s="26">
        <f t="shared" si="56"/>
        <v>4804.4761834765104</v>
      </c>
      <c r="Y215" s="26">
        <f t="shared" si="57"/>
        <v>60.936759493043596</v>
      </c>
    </row>
    <row r="216" spans="1:25" ht="15.75" thickBot="1">
      <c r="D216" s="155" t="s">
        <v>145</v>
      </c>
      <c r="E216" s="54">
        <f>MAX(E213:E215)-MIN(E213:E215)</f>
        <v>0.90926339691953473</v>
      </c>
      <c r="F216" s="55">
        <f>MAX(F213:F215)-MIN(F213:F215)</f>
        <v>0.60004672004120607</v>
      </c>
      <c r="G216" s="55">
        <f t="shared" ref="G216:H216" si="59">MAX(G213:G215)-MIN(G213:G215)</f>
        <v>1.816836658481165</v>
      </c>
      <c r="H216" s="55">
        <f t="shared" si="59"/>
        <v>0.41701770141484928</v>
      </c>
      <c r="S216" s="26">
        <f t="shared" si="53"/>
        <v>0.70570716809200562</v>
      </c>
      <c r="T216" s="26">
        <f t="shared" si="54"/>
        <v>9.6100000000000012</v>
      </c>
      <c r="U216" s="26">
        <f t="shared" si="55"/>
        <v>-149.61907106668539</v>
      </c>
      <c r="W216" s="26">
        <f t="shared" si="58"/>
        <v>0</v>
      </c>
      <c r="X216" s="26">
        <f t="shared" si="56"/>
        <v>6672.3288797386213</v>
      </c>
      <c r="Y216" s="26">
        <f t="shared" si="57"/>
        <v>53.380559425594413</v>
      </c>
    </row>
    <row r="217" spans="1:25" ht="15.75" thickBot="1">
      <c r="D217" s="176" t="s">
        <v>146</v>
      </c>
      <c r="E217" s="146">
        <f>RANK(E216,E216:H216)</f>
        <v>2</v>
      </c>
      <c r="F217" s="146">
        <f>RANK(F216,E216:H216)</f>
        <v>3</v>
      </c>
      <c r="G217" s="146">
        <f>RANK(G216,E216:H216)</f>
        <v>1</v>
      </c>
      <c r="H217" s="147">
        <f>RANK(H216,E216:H216)</f>
        <v>4</v>
      </c>
      <c r="S217" s="26">
        <f t="shared" si="53"/>
        <v>0.14112505471509454</v>
      </c>
      <c r="T217" s="26">
        <f t="shared" si="54"/>
        <v>9.6100000000000012</v>
      </c>
      <c r="U217" s="26">
        <f t="shared" si="55"/>
        <v>-149.61907106668539</v>
      </c>
      <c r="W217" s="26">
        <f t="shared" si="58"/>
        <v>0</v>
      </c>
      <c r="X217" s="26">
        <f t="shared" si="56"/>
        <v>4902.6852653454071</v>
      </c>
      <c r="Y217" s="26">
        <f t="shared" si="57"/>
        <v>53.380559425594413</v>
      </c>
    </row>
    <row r="218" spans="1:25">
      <c r="S218" s="26">
        <f t="shared" si="53"/>
        <v>8.4195021012074905E-2</v>
      </c>
      <c r="T218" s="26">
        <f t="shared" si="54"/>
        <v>12.25</v>
      </c>
      <c r="U218" s="26">
        <f t="shared" si="55"/>
        <v>-146.97907106668541</v>
      </c>
      <c r="W218" s="26">
        <f t="shared" si="58"/>
        <v>0</v>
      </c>
      <c r="X218" s="26">
        <f t="shared" si="56"/>
        <v>7542.0506359025139</v>
      </c>
      <c r="Y218" s="26">
        <f t="shared" si="57"/>
        <v>59.38551947955375</v>
      </c>
    </row>
    <row r="219" spans="1:25">
      <c r="S219" s="26">
        <f t="shared" si="53"/>
        <v>1.6149222544599149</v>
      </c>
      <c r="T219" s="26">
        <f t="shared" si="54"/>
        <v>9.6100000000000012</v>
      </c>
      <c r="U219" s="26">
        <f t="shared" si="55"/>
        <v>-149.61907106668539</v>
      </c>
      <c r="W219" s="26">
        <f t="shared" si="58"/>
        <v>0</v>
      </c>
      <c r="X219" s="26">
        <f t="shared" si="56"/>
        <v>6672.3288797386213</v>
      </c>
      <c r="Y219" s="26">
        <f t="shared" si="57"/>
        <v>53.380559425594413</v>
      </c>
    </row>
    <row r="220" spans="1:25">
      <c r="S220" s="58">
        <f>SUM(S211:S219)</f>
        <v>8.0912300617583295</v>
      </c>
      <c r="T220" s="58">
        <f>SUM(T211:T219)</f>
        <v>88.74</v>
      </c>
      <c r="U220" s="58">
        <f>SUM(U211:U219)</f>
        <v>-1344.3216396001685</v>
      </c>
      <c r="W220" s="26">
        <f t="shared" si="58"/>
        <v>0</v>
      </c>
    </row>
    <row r="221" spans="1:25">
      <c r="W221" s="26">
        <f t="shared" si="58"/>
        <v>0</v>
      </c>
      <c r="X221" s="151" t="e">
        <f>SUM(X211:X219)</f>
        <v>#VALUE!</v>
      </c>
      <c r="Y221" s="151">
        <f>SUM(Y211:Y219)</f>
        <v>471.73891465498184</v>
      </c>
    </row>
    <row r="222" spans="1:25">
      <c r="W222" s="26">
        <f t="shared" si="58"/>
        <v>0</v>
      </c>
    </row>
    <row r="223" spans="1:25">
      <c r="W223" s="151">
        <f>SUM(W213:W222)</f>
        <v>10.240000000000002</v>
      </c>
    </row>
    <row r="239" spans="1:16" ht="15.75" thickBot="1">
      <c r="A239" s="26" t="s">
        <v>114</v>
      </c>
    </row>
    <row r="240" spans="1:16">
      <c r="A240" s="188"/>
      <c r="B240" s="131" t="s">
        <v>116</v>
      </c>
      <c r="C240" s="132" t="s">
        <v>116</v>
      </c>
      <c r="D240" s="132" t="s">
        <v>119</v>
      </c>
      <c r="E240" s="132" t="s">
        <v>121</v>
      </c>
      <c r="F240" s="198" t="s">
        <v>221</v>
      </c>
      <c r="G240" s="198"/>
      <c r="H240" s="198"/>
      <c r="I240" s="132"/>
      <c r="J240" s="132"/>
      <c r="K240" s="132"/>
      <c r="L240" s="132"/>
      <c r="M240" s="132"/>
      <c r="N240" s="132"/>
      <c r="O240" s="132" t="s">
        <v>223</v>
      </c>
      <c r="P240" s="133"/>
    </row>
    <row r="241" spans="1:16" ht="15.75" thickBot="1">
      <c r="A241" s="154" t="s">
        <v>115</v>
      </c>
      <c r="B241" s="159" t="s">
        <v>117</v>
      </c>
      <c r="C241" s="160" t="s">
        <v>118</v>
      </c>
      <c r="D241" s="160" t="s">
        <v>120</v>
      </c>
      <c r="E241" s="160"/>
      <c r="F241" s="44" t="s">
        <v>137</v>
      </c>
      <c r="G241" s="44"/>
      <c r="H241" s="44"/>
      <c r="I241" s="160"/>
      <c r="J241" s="160"/>
      <c r="K241" s="160"/>
      <c r="L241" s="160"/>
      <c r="M241" s="160"/>
      <c r="N241" s="160" t="s">
        <v>138</v>
      </c>
      <c r="O241" s="160" t="s">
        <v>222</v>
      </c>
      <c r="P241" s="161" t="s">
        <v>134</v>
      </c>
    </row>
    <row r="242" spans="1:16" ht="15.75" thickBot="1">
      <c r="A242" s="154">
        <v>1</v>
      </c>
      <c r="B242" s="167" t="s">
        <v>122</v>
      </c>
      <c r="C242" s="168" t="s">
        <v>125</v>
      </c>
      <c r="D242" s="168" t="s">
        <v>128</v>
      </c>
      <c r="E242" s="168">
        <v>690</v>
      </c>
      <c r="F242" s="43">
        <v>6.5</v>
      </c>
      <c r="G242" s="43">
        <v>10</v>
      </c>
      <c r="H242" s="43">
        <v>2.5</v>
      </c>
      <c r="I242" s="43">
        <v>4</v>
      </c>
      <c r="J242" s="43">
        <v>8</v>
      </c>
      <c r="K242" s="90"/>
      <c r="L242" s="90"/>
      <c r="M242" s="90"/>
      <c r="N242" s="90">
        <f>AVERAGE(F242:M242)</f>
        <v>6.2</v>
      </c>
      <c r="O242" s="26">
        <v>1.11286506477202</v>
      </c>
      <c r="P242" s="91">
        <f>-10*LOG10((1/(O242^2)))</f>
        <v>0.92885018377386142</v>
      </c>
    </row>
    <row r="243" spans="1:16" ht="15.75" thickBot="1">
      <c r="A243" s="154">
        <v>2</v>
      </c>
      <c r="B243" s="169" t="s">
        <v>122</v>
      </c>
      <c r="C243" s="52" t="s">
        <v>126</v>
      </c>
      <c r="D243" s="52" t="s">
        <v>129</v>
      </c>
      <c r="E243" s="52">
        <v>730</v>
      </c>
      <c r="F243" s="43">
        <v>19</v>
      </c>
      <c r="G243" s="43">
        <v>14</v>
      </c>
      <c r="H243" s="43">
        <v>32</v>
      </c>
      <c r="I243" s="43">
        <v>29</v>
      </c>
      <c r="J243" s="43">
        <v>39</v>
      </c>
      <c r="K243" s="80"/>
      <c r="L243" s="80"/>
      <c r="M243" s="80"/>
      <c r="N243" s="80">
        <f t="shared" ref="N243:N250" si="60">AVERAGE(F243:M243)</f>
        <v>26.6</v>
      </c>
      <c r="O243" s="26">
        <v>3.2139966691472202</v>
      </c>
      <c r="P243" s="91">
        <f t="shared" ref="P243:P250" si="61">-10*LOG10((1/(O243^2)))</f>
        <v>10.140908446855587</v>
      </c>
    </row>
    <row r="244" spans="1:16" ht="15.75" thickBot="1">
      <c r="A244" s="154">
        <v>3</v>
      </c>
      <c r="B244" s="169" t="s">
        <v>122</v>
      </c>
      <c r="C244" s="52" t="s">
        <v>127</v>
      </c>
      <c r="D244" s="52" t="s">
        <v>130</v>
      </c>
      <c r="E244" s="52">
        <v>770</v>
      </c>
      <c r="F244" s="80"/>
      <c r="G244" s="80"/>
      <c r="H244" s="80"/>
      <c r="I244" s="80"/>
      <c r="J244" s="80"/>
      <c r="K244" s="80"/>
      <c r="L244" s="80"/>
      <c r="M244" s="80"/>
      <c r="N244" s="80"/>
      <c r="O244" s="80" t="e">
        <f>500/((PI()*10/2)*((10)-(SQRT(10^2-N244^2))))</f>
        <v>#DIV/0!</v>
      </c>
      <c r="P244" s="91" t="e">
        <f t="shared" si="61"/>
        <v>#DIV/0!</v>
      </c>
    </row>
    <row r="245" spans="1:16" ht="15.75" thickBot="1">
      <c r="A245" s="154">
        <v>4</v>
      </c>
      <c r="B245" s="169" t="s">
        <v>123</v>
      </c>
      <c r="C245" s="52" t="s">
        <v>125</v>
      </c>
      <c r="D245" s="52" t="s">
        <v>129</v>
      </c>
      <c r="E245" s="52">
        <v>770</v>
      </c>
      <c r="F245" s="43">
        <v>30</v>
      </c>
      <c r="G245" s="43">
        <v>23</v>
      </c>
      <c r="H245" s="43">
        <v>22</v>
      </c>
      <c r="I245" s="43">
        <v>21</v>
      </c>
      <c r="J245" s="43">
        <v>25</v>
      </c>
      <c r="K245" s="80"/>
      <c r="L245" s="80"/>
      <c r="M245" s="80"/>
      <c r="N245" s="80">
        <f t="shared" si="60"/>
        <v>24.2</v>
      </c>
      <c r="O245" s="26">
        <v>3.0775745180458101</v>
      </c>
      <c r="P245" s="91">
        <f t="shared" si="61"/>
        <v>9.7641715481307045</v>
      </c>
    </row>
    <row r="246" spans="1:16" ht="15.75" thickBot="1">
      <c r="A246" s="154">
        <v>5</v>
      </c>
      <c r="B246" s="169" t="s">
        <v>123</v>
      </c>
      <c r="C246" s="52" t="s">
        <v>126</v>
      </c>
      <c r="D246" s="52" t="s">
        <v>130</v>
      </c>
      <c r="E246" s="52">
        <v>690</v>
      </c>
      <c r="F246" s="80"/>
      <c r="G246" s="80"/>
      <c r="H246" s="80"/>
      <c r="I246" s="80"/>
      <c r="J246" s="80"/>
      <c r="K246" s="80"/>
      <c r="L246" s="80"/>
      <c r="M246" s="80"/>
      <c r="N246" s="80"/>
      <c r="O246" s="80" t="e">
        <f t="shared" ref="O246" si="62">500/((PI()*10/2)*((10)-(SQRT(10^2-N246^2))))</f>
        <v>#DIV/0!</v>
      </c>
      <c r="P246" s="91" t="e">
        <f t="shared" si="61"/>
        <v>#DIV/0!</v>
      </c>
    </row>
    <row r="247" spans="1:16" ht="15.75" thickBot="1">
      <c r="A247" s="154">
        <v>6</v>
      </c>
      <c r="B247" s="169" t="s">
        <v>123</v>
      </c>
      <c r="C247" s="52" t="s">
        <v>127</v>
      </c>
      <c r="D247" s="52" t="s">
        <v>128</v>
      </c>
      <c r="E247" s="52">
        <v>730</v>
      </c>
      <c r="F247" s="43">
        <v>8</v>
      </c>
      <c r="G247" s="43">
        <v>3</v>
      </c>
      <c r="H247" s="43">
        <v>9</v>
      </c>
      <c r="I247" s="43">
        <v>9</v>
      </c>
      <c r="J247" s="43">
        <v>6</v>
      </c>
      <c r="K247" s="80"/>
      <c r="L247" s="80"/>
      <c r="M247" s="80"/>
      <c r="N247" s="80">
        <f t="shared" si="60"/>
        <v>7</v>
      </c>
      <c r="O247" s="26">
        <v>1.2879555611861786</v>
      </c>
      <c r="P247" s="91">
        <f t="shared" si="61"/>
        <v>2.1980175731378129</v>
      </c>
    </row>
    <row r="248" spans="1:16" ht="15.75" thickBot="1">
      <c r="A248" s="154">
        <v>7</v>
      </c>
      <c r="B248" s="169" t="s">
        <v>124</v>
      </c>
      <c r="C248" s="52" t="s">
        <v>125</v>
      </c>
      <c r="D248" s="52" t="s">
        <v>130</v>
      </c>
      <c r="E248" s="52">
        <v>730</v>
      </c>
      <c r="F248" s="80"/>
      <c r="G248" s="80"/>
      <c r="H248" s="80"/>
      <c r="I248" s="80"/>
      <c r="J248" s="80"/>
      <c r="K248" s="80"/>
      <c r="L248" s="80"/>
      <c r="M248" s="80"/>
      <c r="N248" s="80"/>
      <c r="O248" s="80" t="e">
        <f>500/((PI()*10/2)*((10)-(SQRT(10^2-N248^2))))</f>
        <v>#DIV/0!</v>
      </c>
      <c r="P248" s="91" t="e">
        <f t="shared" si="61"/>
        <v>#DIV/0!</v>
      </c>
    </row>
    <row r="249" spans="1:16" ht="15.75" thickBot="1">
      <c r="A249" s="154">
        <v>8</v>
      </c>
      <c r="B249" s="169" t="s">
        <v>124</v>
      </c>
      <c r="C249" s="52" t="s">
        <v>126</v>
      </c>
      <c r="D249" s="52" t="s">
        <v>128</v>
      </c>
      <c r="E249" s="52">
        <v>770</v>
      </c>
      <c r="F249" s="43">
        <v>18</v>
      </c>
      <c r="G249" s="43">
        <v>30</v>
      </c>
      <c r="H249" s="43">
        <v>28</v>
      </c>
      <c r="I249" s="43">
        <v>21</v>
      </c>
      <c r="J249" s="43">
        <v>25</v>
      </c>
      <c r="K249" s="80"/>
      <c r="L249" s="80"/>
      <c r="M249" s="80"/>
      <c r="N249" s="80">
        <f t="shared" si="60"/>
        <v>24.4</v>
      </c>
      <c r="O249" s="26">
        <v>3.0894488753560765</v>
      </c>
      <c r="P249" s="91">
        <f t="shared" si="61"/>
        <v>9.7976202568513671</v>
      </c>
    </row>
    <row r="250" spans="1:16" ht="15.75" thickBot="1">
      <c r="A250" s="156">
        <v>9</v>
      </c>
      <c r="B250" s="171" t="s">
        <v>124</v>
      </c>
      <c r="C250" s="172" t="s">
        <v>127</v>
      </c>
      <c r="D250" s="172" t="s">
        <v>129</v>
      </c>
      <c r="E250" s="172">
        <v>690</v>
      </c>
      <c r="F250" s="43">
        <v>67</v>
      </c>
      <c r="G250" s="43">
        <v>46</v>
      </c>
      <c r="H250" s="43">
        <v>75</v>
      </c>
      <c r="I250" s="43">
        <v>92</v>
      </c>
      <c r="J250" s="43">
        <v>71</v>
      </c>
      <c r="K250" s="92"/>
      <c r="L250" s="92"/>
      <c r="M250" s="92"/>
      <c r="N250" s="92">
        <f t="shared" si="60"/>
        <v>70.2</v>
      </c>
      <c r="O250" s="26">
        <v>4.6140717587540312</v>
      </c>
      <c r="P250" s="91">
        <f t="shared" si="61"/>
        <v>13.281686889044215</v>
      </c>
    </row>
    <row r="251" spans="1:16" ht="15.75" thickBot="1">
      <c r="P251" s="93" t="e">
        <f>AVERAGE(P242:P250)</f>
        <v>#DIV/0!</v>
      </c>
    </row>
    <row r="252" spans="1:16" ht="15.75" thickBot="1">
      <c r="D252" s="135"/>
      <c r="E252" s="174" t="s">
        <v>116</v>
      </c>
      <c r="F252" s="174" t="s">
        <v>116</v>
      </c>
      <c r="G252" s="174" t="s">
        <v>119</v>
      </c>
      <c r="H252" s="140" t="s">
        <v>121</v>
      </c>
    </row>
    <row r="253" spans="1:16" ht="15.75" thickBot="1">
      <c r="D253" s="35" t="s">
        <v>144</v>
      </c>
      <c r="E253" s="145" t="s">
        <v>117</v>
      </c>
      <c r="F253" s="175" t="s">
        <v>118</v>
      </c>
      <c r="G253" s="175" t="s">
        <v>120</v>
      </c>
      <c r="H253" s="145"/>
    </row>
    <row r="254" spans="1:16">
      <c r="D254" s="154">
        <v>1</v>
      </c>
      <c r="E254" s="49" t="e">
        <f>AVERAGE(P242:P244)</f>
        <v>#DIV/0!</v>
      </c>
      <c r="F254" s="50" t="e">
        <f>AVERAGE(P242,P245,P248)</f>
        <v>#DIV/0!</v>
      </c>
      <c r="G254" s="50">
        <f>AVERAGE(P242,P247,P249)</f>
        <v>4.3081626712543475</v>
      </c>
      <c r="H254" s="50" t="e">
        <f>AVERAGE(P242,P246,P250)</f>
        <v>#DIV/0!</v>
      </c>
    </row>
    <row r="255" spans="1:16">
      <c r="D255" s="154">
        <v>2</v>
      </c>
      <c r="E255" s="51" t="e">
        <f>AVERAGE(P245:P247)</f>
        <v>#DIV/0!</v>
      </c>
      <c r="F255" s="52" t="e">
        <f>AVERAGE(P243,P246,P249)</f>
        <v>#DIV/0!</v>
      </c>
      <c r="G255" s="52">
        <f>AVERAGE(P243,P245,P250)</f>
        <v>11.062255628010169</v>
      </c>
      <c r="H255" s="52" t="e">
        <f>AVERAGE(P243,P247,P248)</f>
        <v>#DIV/0!</v>
      </c>
    </row>
    <row r="256" spans="1:16">
      <c r="D256" s="154">
        <v>3</v>
      </c>
      <c r="E256" s="51" t="e">
        <f>AVERAGE(P248:P250)</f>
        <v>#DIV/0!</v>
      </c>
      <c r="F256" s="52" t="e">
        <f>AVERAGE(P244,P247,P250)</f>
        <v>#DIV/0!</v>
      </c>
      <c r="G256" s="52" t="e">
        <f>AVERAGE(P244,P246,P248)</f>
        <v>#DIV/0!</v>
      </c>
      <c r="H256" s="52" t="e">
        <f>AVERAGE(P244,P245,P249)</f>
        <v>#DIV/0!</v>
      </c>
    </row>
    <row r="257" spans="4:8" ht="15.75" thickBot="1">
      <c r="D257" s="155" t="s">
        <v>145</v>
      </c>
      <c r="E257" s="54" t="e">
        <f>MAX(E254:E256)-MIN(E254:E256)</f>
        <v>#DIV/0!</v>
      </c>
      <c r="F257" s="55" t="e">
        <f>MAX(F254:F256)-MIN(F254:F256)</f>
        <v>#DIV/0!</v>
      </c>
      <c r="G257" s="55" t="e">
        <f t="shared" ref="G257:H257" si="63">MAX(G254:G256)-MIN(G254:G256)</f>
        <v>#DIV/0!</v>
      </c>
      <c r="H257" s="55" t="e">
        <f t="shared" si="63"/>
        <v>#DIV/0!</v>
      </c>
    </row>
    <row r="258" spans="4:8" ht="15.75" thickBot="1">
      <c r="D258" s="176" t="s">
        <v>146</v>
      </c>
      <c r="E258" s="146" t="e">
        <f>RANK(E257,E257:H257)</f>
        <v>#DIV/0!</v>
      </c>
      <c r="F258" s="146" t="e">
        <f>RANK(F257,E257:H257)</f>
        <v>#DIV/0!</v>
      </c>
      <c r="G258" s="146" t="e">
        <f>RANK(G257,E257:H257)</f>
        <v>#DIV/0!</v>
      </c>
      <c r="H258" s="147" t="e">
        <f>RANK(H257,E257:H257)</f>
        <v>#DIV/0!</v>
      </c>
    </row>
  </sheetData>
  <mergeCells count="15">
    <mergeCell ref="F240:H240"/>
    <mergeCell ref="F199:H199"/>
    <mergeCell ref="G115:M115"/>
    <mergeCell ref="S3:Y3"/>
    <mergeCell ref="F4:K4"/>
    <mergeCell ref="F41:K41"/>
    <mergeCell ref="E77:H77"/>
    <mergeCell ref="F5:H5"/>
    <mergeCell ref="F42:H42"/>
    <mergeCell ref="S41:Y41"/>
    <mergeCell ref="S77:Y77"/>
    <mergeCell ref="S115:Y115"/>
    <mergeCell ref="S197:Y197"/>
    <mergeCell ref="F157:J157"/>
    <mergeCell ref="S155:Y15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3:N82"/>
  <sheetViews>
    <sheetView topLeftCell="A40" workbookViewId="0">
      <selection activeCell="I17" sqref="I17"/>
    </sheetView>
  </sheetViews>
  <sheetFormatPr defaultRowHeight="15"/>
  <cols>
    <col min="3" max="3" width="9.140625" style="111"/>
    <col min="4" max="4" width="15.5703125" style="111" bestFit="1" customWidth="1"/>
    <col min="5" max="5" width="18.85546875" style="109" bestFit="1" customWidth="1"/>
    <col min="9" max="9" width="10.140625" bestFit="1" customWidth="1"/>
    <col min="11" max="11" width="12.5703125" bestFit="1" customWidth="1"/>
  </cols>
  <sheetData>
    <row r="3" spans="1:14">
      <c r="B3" t="s">
        <v>247</v>
      </c>
    </row>
    <row r="4" spans="1:14" ht="15.75" thickBot="1">
      <c r="C4" s="113" t="s">
        <v>248</v>
      </c>
      <c r="D4" s="113" t="s">
        <v>249</v>
      </c>
      <c r="E4" s="114" t="s">
        <v>250</v>
      </c>
      <c r="G4" s="22"/>
    </row>
    <row r="5" spans="1:14">
      <c r="A5" s="2" t="s">
        <v>122</v>
      </c>
      <c r="B5" s="207" t="s">
        <v>104</v>
      </c>
      <c r="C5" s="112" t="s">
        <v>252</v>
      </c>
      <c r="D5" s="111">
        <v>33.299999999999997</v>
      </c>
      <c r="E5" s="109">
        <v>128</v>
      </c>
      <c r="G5" s="123"/>
      <c r="H5" s="126" t="s">
        <v>116</v>
      </c>
      <c r="I5" s="126" t="s">
        <v>116</v>
      </c>
      <c r="J5" s="126" t="s">
        <v>119</v>
      </c>
      <c r="K5" s="115" t="s">
        <v>121</v>
      </c>
      <c r="L5" s="210" t="s">
        <v>261</v>
      </c>
      <c r="M5" s="211"/>
      <c r="N5" s="128" t="s">
        <v>258</v>
      </c>
    </row>
    <row r="6" spans="1:14" ht="15.75" thickBot="1">
      <c r="A6" s="2" t="s">
        <v>125</v>
      </c>
      <c r="B6" s="208"/>
      <c r="C6" s="112" t="s">
        <v>252</v>
      </c>
      <c r="D6" s="111">
        <v>38.700000000000003</v>
      </c>
      <c r="E6" s="109">
        <v>95</v>
      </c>
      <c r="G6" s="123"/>
      <c r="H6" s="127" t="s">
        <v>117</v>
      </c>
      <c r="I6" s="127" t="s">
        <v>118</v>
      </c>
      <c r="J6" s="127" t="s">
        <v>120</v>
      </c>
      <c r="K6" s="116"/>
      <c r="L6" s="120" t="s">
        <v>252</v>
      </c>
      <c r="M6" s="117" t="s">
        <v>253</v>
      </c>
      <c r="N6" s="129" t="s">
        <v>259</v>
      </c>
    </row>
    <row r="7" spans="1:14">
      <c r="A7" s="2" t="s">
        <v>128</v>
      </c>
      <c r="B7" s="208"/>
      <c r="C7" s="112" t="s">
        <v>252</v>
      </c>
      <c r="D7" s="111">
        <v>41.9</v>
      </c>
      <c r="E7" s="109">
        <v>81.099999999999994</v>
      </c>
      <c r="G7" s="124"/>
      <c r="H7" s="125" t="s">
        <v>122</v>
      </c>
      <c r="I7" s="118" t="s">
        <v>125</v>
      </c>
      <c r="J7" s="118" t="s">
        <v>128</v>
      </c>
      <c r="K7" s="118">
        <v>690</v>
      </c>
      <c r="L7" s="118">
        <v>110.82000000000001</v>
      </c>
      <c r="M7" s="118">
        <v>308.39999999999998</v>
      </c>
      <c r="N7" s="122">
        <v>143</v>
      </c>
    </row>
    <row r="8" spans="1:14">
      <c r="A8" s="2">
        <v>690</v>
      </c>
      <c r="B8" s="208"/>
      <c r="C8" s="112" t="s">
        <v>252</v>
      </c>
      <c r="D8" s="111">
        <v>36.5</v>
      </c>
      <c r="E8" s="109">
        <v>107</v>
      </c>
      <c r="G8" s="124"/>
      <c r="H8" s="119" t="s">
        <v>122</v>
      </c>
      <c r="I8" s="119" t="s">
        <v>126</v>
      </c>
      <c r="J8" s="119" t="s">
        <v>129</v>
      </c>
      <c r="K8" s="119">
        <v>730</v>
      </c>
      <c r="L8" s="119">
        <v>71.92</v>
      </c>
      <c r="M8" s="119">
        <v>300.2</v>
      </c>
      <c r="N8" s="121">
        <v>125</v>
      </c>
    </row>
    <row r="9" spans="1:14">
      <c r="A9" s="11" t="s">
        <v>251</v>
      </c>
      <c r="B9" s="208"/>
      <c r="C9" s="112" t="s">
        <v>252</v>
      </c>
      <c r="D9" s="111">
        <v>31.6</v>
      </c>
      <c r="E9" s="109">
        <v>143</v>
      </c>
      <c r="G9" s="124"/>
      <c r="H9" s="119" t="s">
        <v>123</v>
      </c>
      <c r="I9" s="119" t="s">
        <v>125</v>
      </c>
      <c r="J9" s="119" t="s">
        <v>129</v>
      </c>
      <c r="K9" s="119">
        <v>770</v>
      </c>
      <c r="L9" s="119">
        <v>75.3</v>
      </c>
      <c r="M9" s="119">
        <v>307.39999999999998</v>
      </c>
      <c r="N9" s="121">
        <v>153</v>
      </c>
    </row>
    <row r="10" spans="1:14" ht="15.75" thickBot="1">
      <c r="B10" s="208"/>
      <c r="E10" s="110">
        <f>AVERAGE(E5:E9)</f>
        <v>110.82000000000001</v>
      </c>
      <c r="G10" s="124"/>
      <c r="H10" s="119" t="s">
        <v>123</v>
      </c>
      <c r="I10" s="119" t="s">
        <v>127</v>
      </c>
      <c r="J10" s="119" t="s">
        <v>128</v>
      </c>
      <c r="K10" s="119">
        <v>730</v>
      </c>
      <c r="L10" s="119">
        <v>82.88000000000001</v>
      </c>
      <c r="M10" s="119">
        <v>247.6</v>
      </c>
      <c r="N10" s="121">
        <v>150</v>
      </c>
    </row>
    <row r="11" spans="1:14" ht="15.75" thickTop="1">
      <c r="B11" s="208"/>
      <c r="C11" s="112" t="s">
        <v>253</v>
      </c>
      <c r="D11" s="111">
        <v>20</v>
      </c>
      <c r="E11" s="109">
        <v>359</v>
      </c>
      <c r="G11" s="124"/>
      <c r="H11" s="119" t="s">
        <v>124</v>
      </c>
      <c r="I11" s="119" t="s">
        <v>126</v>
      </c>
      <c r="J11" s="119" t="s">
        <v>128</v>
      </c>
      <c r="K11" s="119">
        <v>770</v>
      </c>
      <c r="L11" s="119">
        <v>85.28</v>
      </c>
      <c r="M11" s="119">
        <v>305.8</v>
      </c>
      <c r="N11" s="121">
        <v>137</v>
      </c>
    </row>
    <row r="12" spans="1:14">
      <c r="B12" s="208"/>
      <c r="C12" s="112" t="s">
        <v>253</v>
      </c>
      <c r="D12" s="111">
        <v>24.7</v>
      </c>
      <c r="E12" s="109">
        <v>233</v>
      </c>
      <c r="G12" s="124"/>
      <c r="H12" s="119" t="s">
        <v>124</v>
      </c>
      <c r="I12" s="119" t="s">
        <v>127</v>
      </c>
      <c r="J12" s="119" t="s">
        <v>129</v>
      </c>
      <c r="K12" s="119">
        <v>690</v>
      </c>
      <c r="L12" s="119">
        <v>73.86</v>
      </c>
      <c r="M12" s="119">
        <v>301.39999999999998</v>
      </c>
      <c r="N12" s="121">
        <v>153</v>
      </c>
    </row>
    <row r="13" spans="1:14">
      <c r="B13" s="208"/>
      <c r="C13" s="112" t="s">
        <v>253</v>
      </c>
      <c r="D13" s="111">
        <v>20.3</v>
      </c>
      <c r="E13" s="109">
        <v>345</v>
      </c>
      <c r="G13" s="124"/>
    </row>
    <row r="14" spans="1:14">
      <c r="B14" s="208"/>
      <c r="C14" s="112" t="s">
        <v>253</v>
      </c>
      <c r="D14" s="111">
        <v>22</v>
      </c>
      <c r="E14" s="109">
        <v>294</v>
      </c>
      <c r="G14" s="124"/>
    </row>
    <row r="15" spans="1:14">
      <c r="B15" s="208"/>
      <c r="C15" s="112" t="s">
        <v>253</v>
      </c>
      <c r="D15" s="111">
        <v>21.4</v>
      </c>
      <c r="E15" s="109">
        <v>311</v>
      </c>
      <c r="G15" s="124"/>
    </row>
    <row r="16" spans="1:14" ht="15.75" thickBot="1">
      <c r="B16" s="209"/>
      <c r="E16" s="110">
        <f>AVERAGE(E11:E15)</f>
        <v>308.39999999999998</v>
      </c>
      <c r="G16" s="22"/>
    </row>
    <row r="17" spans="1:5" ht="15.75" thickTop="1"/>
    <row r="18" spans="1:5">
      <c r="A18" s="2" t="s">
        <v>122</v>
      </c>
      <c r="B18" s="207" t="s">
        <v>74</v>
      </c>
      <c r="C18" s="112" t="s">
        <v>252</v>
      </c>
      <c r="D18" s="111">
        <v>45.6</v>
      </c>
      <c r="E18" s="109">
        <v>68.400000000000006</v>
      </c>
    </row>
    <row r="19" spans="1:5">
      <c r="A19" s="2" t="s">
        <v>126</v>
      </c>
      <c r="B19" s="208"/>
      <c r="C19" s="112" t="s">
        <v>252</v>
      </c>
      <c r="D19" s="111">
        <v>42.3</v>
      </c>
      <c r="E19" s="109">
        <v>79.5</v>
      </c>
    </row>
    <row r="20" spans="1:5">
      <c r="A20" s="2" t="s">
        <v>129</v>
      </c>
      <c r="B20" s="208"/>
      <c r="C20" s="112" t="s">
        <v>252</v>
      </c>
      <c r="D20" s="111">
        <v>53.9</v>
      </c>
      <c r="E20" s="109">
        <v>49.6</v>
      </c>
    </row>
    <row r="21" spans="1:5">
      <c r="A21" s="2">
        <v>730</v>
      </c>
      <c r="B21" s="208"/>
      <c r="C21" s="112" t="s">
        <v>252</v>
      </c>
      <c r="D21" s="111">
        <v>42</v>
      </c>
      <c r="E21" s="109">
        <v>80.7</v>
      </c>
    </row>
    <row r="22" spans="1:5">
      <c r="A22" s="11" t="s">
        <v>254</v>
      </c>
      <c r="B22" s="208"/>
      <c r="C22" s="112" t="s">
        <v>252</v>
      </c>
      <c r="D22" s="111">
        <v>41.8</v>
      </c>
      <c r="E22" s="109">
        <v>81.400000000000006</v>
      </c>
    </row>
    <row r="23" spans="1:5" ht="15.75" thickBot="1">
      <c r="B23" s="208"/>
      <c r="E23" s="110">
        <f>AVERAGE(E18:E22)</f>
        <v>71.92</v>
      </c>
    </row>
    <row r="24" spans="1:5" ht="15.75" thickTop="1">
      <c r="B24" s="208"/>
      <c r="C24" s="112" t="s">
        <v>253</v>
      </c>
      <c r="D24" s="111">
        <v>20.8</v>
      </c>
      <c r="E24" s="109">
        <v>329</v>
      </c>
    </row>
    <row r="25" spans="1:5">
      <c r="B25" s="208"/>
      <c r="C25" s="112" t="s">
        <v>253</v>
      </c>
      <c r="D25" s="111">
        <v>26.7</v>
      </c>
      <c r="E25" s="109">
        <v>200</v>
      </c>
    </row>
    <row r="26" spans="1:5">
      <c r="B26" s="208"/>
      <c r="C26" s="112" t="s">
        <v>253</v>
      </c>
      <c r="D26" s="111">
        <v>30.8</v>
      </c>
      <c r="E26" s="109">
        <v>329</v>
      </c>
    </row>
    <row r="27" spans="1:5">
      <c r="B27" s="208"/>
      <c r="C27" s="112" t="s">
        <v>253</v>
      </c>
      <c r="D27" s="111">
        <v>33</v>
      </c>
      <c r="E27" s="109">
        <v>294</v>
      </c>
    </row>
    <row r="28" spans="1:5">
      <c r="B28" s="208"/>
      <c r="C28" s="112" t="s">
        <v>253</v>
      </c>
      <c r="D28" s="111">
        <v>30.4</v>
      </c>
      <c r="E28" s="109">
        <v>349</v>
      </c>
    </row>
    <row r="29" spans="1:5" ht="15.75" thickBot="1">
      <c r="B29" s="209"/>
      <c r="E29" s="110">
        <f>AVERAGE(E24:E28)</f>
        <v>300.2</v>
      </c>
    </row>
    <row r="30" spans="1:5" ht="15.75" thickTop="1"/>
    <row r="31" spans="1:5">
      <c r="A31" s="45" t="s">
        <v>123</v>
      </c>
      <c r="B31" s="207" t="s">
        <v>79</v>
      </c>
      <c r="C31" s="112" t="s">
        <v>252</v>
      </c>
      <c r="D31" s="111">
        <v>50.5</v>
      </c>
      <c r="E31" s="109">
        <v>55.8</v>
      </c>
    </row>
    <row r="32" spans="1:5">
      <c r="A32" s="45" t="s">
        <v>125</v>
      </c>
      <c r="B32" s="208"/>
      <c r="C32" s="112" t="s">
        <v>252</v>
      </c>
      <c r="D32" s="111">
        <v>43.8</v>
      </c>
      <c r="E32" s="109">
        <v>74.2</v>
      </c>
    </row>
    <row r="33" spans="1:5">
      <c r="A33" s="45" t="s">
        <v>129</v>
      </c>
      <c r="B33" s="208"/>
      <c r="C33" s="112" t="s">
        <v>252</v>
      </c>
      <c r="D33" s="111">
        <v>44.6</v>
      </c>
      <c r="E33" s="109">
        <v>71.5</v>
      </c>
    </row>
    <row r="34" spans="1:5">
      <c r="A34" s="45">
        <v>770</v>
      </c>
      <c r="B34" s="208"/>
      <c r="C34" s="112" t="s">
        <v>252</v>
      </c>
      <c r="D34" s="111">
        <v>33.200000000000003</v>
      </c>
      <c r="E34" s="109">
        <v>129</v>
      </c>
    </row>
    <row r="35" spans="1:5">
      <c r="A35" s="11" t="s">
        <v>255</v>
      </c>
      <c r="B35" s="208"/>
      <c r="C35" s="112" t="s">
        <v>252</v>
      </c>
      <c r="D35" s="111">
        <v>55.6</v>
      </c>
      <c r="E35" s="109">
        <v>46</v>
      </c>
    </row>
    <row r="36" spans="1:5" ht="15.75" thickBot="1">
      <c r="B36" s="208"/>
      <c r="E36" s="110">
        <f>AVERAGE(E31:E35)</f>
        <v>75.3</v>
      </c>
    </row>
    <row r="37" spans="1:5" ht="15.75" thickTop="1">
      <c r="B37" s="208"/>
      <c r="C37" s="112" t="s">
        <v>253</v>
      </c>
      <c r="D37" s="111">
        <v>20.399999999999999</v>
      </c>
      <c r="E37" s="109">
        <v>342</v>
      </c>
    </row>
    <row r="38" spans="1:5">
      <c r="B38" s="208"/>
      <c r="C38" s="112" t="s">
        <v>253</v>
      </c>
      <c r="D38" s="111">
        <v>19.600000000000001</v>
      </c>
      <c r="E38" s="109">
        <v>370</v>
      </c>
    </row>
    <row r="39" spans="1:5">
      <c r="B39" s="208"/>
      <c r="C39" s="112" t="s">
        <v>253</v>
      </c>
      <c r="D39" s="111">
        <v>24.6</v>
      </c>
      <c r="E39" s="109">
        <v>235</v>
      </c>
    </row>
    <row r="40" spans="1:5">
      <c r="B40" s="208"/>
      <c r="C40" s="112" t="s">
        <v>253</v>
      </c>
      <c r="D40" s="111">
        <v>24.3</v>
      </c>
      <c r="E40" s="109">
        <v>241</v>
      </c>
    </row>
    <row r="41" spans="1:5">
      <c r="B41" s="208"/>
      <c r="C41" s="112" t="s">
        <v>253</v>
      </c>
      <c r="D41" s="111">
        <v>30.5</v>
      </c>
      <c r="E41" s="109">
        <v>349</v>
      </c>
    </row>
    <row r="42" spans="1:5" ht="15.75" thickBot="1">
      <c r="B42" s="209"/>
      <c r="E42" s="110">
        <f>AVERAGE(E37:E41)</f>
        <v>307.39999999999998</v>
      </c>
    </row>
    <row r="43" spans="1:5" ht="15.75" thickTop="1"/>
    <row r="44" spans="1:5">
      <c r="A44" s="45" t="s">
        <v>123</v>
      </c>
      <c r="B44" s="207" t="s">
        <v>99</v>
      </c>
      <c r="C44" s="112" t="s">
        <v>252</v>
      </c>
      <c r="D44" s="111">
        <v>41.4</v>
      </c>
      <c r="E44" s="109">
        <v>83</v>
      </c>
    </row>
    <row r="45" spans="1:5">
      <c r="A45" s="45" t="s">
        <v>127</v>
      </c>
      <c r="B45" s="208"/>
      <c r="C45" s="112" t="s">
        <v>252</v>
      </c>
      <c r="D45" s="111">
        <v>42.4</v>
      </c>
      <c r="E45" s="109">
        <v>79.2</v>
      </c>
    </row>
    <row r="46" spans="1:5">
      <c r="A46" s="45" t="s">
        <v>128</v>
      </c>
      <c r="B46" s="208"/>
      <c r="C46" s="112" t="s">
        <v>252</v>
      </c>
      <c r="D46" s="111">
        <v>41.3</v>
      </c>
      <c r="E46" s="109">
        <v>83.4</v>
      </c>
    </row>
    <row r="47" spans="1:5">
      <c r="A47" s="45">
        <v>730</v>
      </c>
      <c r="B47" s="208"/>
      <c r="C47" s="112" t="s">
        <v>252</v>
      </c>
      <c r="D47" s="111">
        <v>40.1</v>
      </c>
      <c r="E47" s="109">
        <v>88.5</v>
      </c>
    </row>
    <row r="48" spans="1:5">
      <c r="A48" s="11" t="s">
        <v>256</v>
      </c>
      <c r="B48" s="208"/>
      <c r="C48" s="112" t="s">
        <v>252</v>
      </c>
      <c r="D48" s="111">
        <v>42.1</v>
      </c>
      <c r="E48" s="109">
        <v>80.3</v>
      </c>
    </row>
    <row r="49" spans="1:5" ht="15.75" thickBot="1">
      <c r="B49" s="208"/>
      <c r="E49" s="110">
        <f>AVERAGE(E44:E48)</f>
        <v>82.88000000000001</v>
      </c>
    </row>
    <row r="50" spans="1:5" ht="15.75" thickTop="1">
      <c r="B50" s="208"/>
      <c r="C50" s="112" t="s">
        <v>253</v>
      </c>
      <c r="D50" s="111">
        <v>24.9</v>
      </c>
      <c r="E50" s="109">
        <v>230</v>
      </c>
    </row>
    <row r="51" spans="1:5">
      <c r="B51" s="208"/>
      <c r="C51" s="112" t="s">
        <v>253</v>
      </c>
      <c r="D51" s="111">
        <v>29.4</v>
      </c>
      <c r="E51" s="109">
        <v>183</v>
      </c>
    </row>
    <row r="52" spans="1:5">
      <c r="B52" s="208"/>
      <c r="C52" s="112" t="s">
        <v>253</v>
      </c>
      <c r="D52" s="111">
        <v>22.6</v>
      </c>
      <c r="E52" s="109">
        <v>279</v>
      </c>
    </row>
    <row r="53" spans="1:5">
      <c r="B53" s="208"/>
      <c r="C53" s="112" t="s">
        <v>253</v>
      </c>
      <c r="D53" s="111">
        <v>23.3</v>
      </c>
      <c r="E53" s="109">
        <v>262</v>
      </c>
    </row>
    <row r="54" spans="1:5">
      <c r="B54" s="208"/>
      <c r="C54" s="112" t="s">
        <v>253</v>
      </c>
      <c r="D54" s="111">
        <v>22.4</v>
      </c>
      <c r="E54" s="109">
        <v>284</v>
      </c>
    </row>
    <row r="55" spans="1:5" ht="15.75" thickBot="1">
      <c r="B55" s="209"/>
      <c r="E55" s="110">
        <f>AVERAGE(E50:E54)</f>
        <v>247.6</v>
      </c>
    </row>
    <row r="56" spans="1:5" ht="15.75" thickTop="1"/>
    <row r="57" spans="1:5">
      <c r="A57" s="45" t="s">
        <v>124</v>
      </c>
      <c r="B57" s="207">
        <v>8</v>
      </c>
      <c r="C57" s="112" t="s">
        <v>252</v>
      </c>
      <c r="D57" s="111">
        <v>41.2</v>
      </c>
      <c r="E57" s="109">
        <v>83.8</v>
      </c>
    </row>
    <row r="58" spans="1:5">
      <c r="A58" s="45" t="s">
        <v>126</v>
      </c>
      <c r="B58" s="208"/>
      <c r="C58" s="112" t="s">
        <v>252</v>
      </c>
      <c r="D58" s="111">
        <v>37.799999999999997</v>
      </c>
      <c r="E58" s="109">
        <v>99.6</v>
      </c>
    </row>
    <row r="59" spans="1:5">
      <c r="A59" s="45" t="s">
        <v>128</v>
      </c>
      <c r="B59" s="208"/>
      <c r="C59" s="112" t="s">
        <v>252</v>
      </c>
      <c r="D59" s="111">
        <v>40.4</v>
      </c>
      <c r="E59" s="109">
        <v>87.2</v>
      </c>
    </row>
    <row r="60" spans="1:5">
      <c r="A60" s="45">
        <v>770</v>
      </c>
      <c r="B60" s="208"/>
      <c r="C60" s="112" t="s">
        <v>252</v>
      </c>
      <c r="D60" s="111">
        <v>42.4</v>
      </c>
      <c r="E60" s="109">
        <v>79.2</v>
      </c>
    </row>
    <row r="61" spans="1:5">
      <c r="A61" s="11" t="s">
        <v>257</v>
      </c>
      <c r="B61" s="208"/>
      <c r="C61" s="112" t="s">
        <v>252</v>
      </c>
      <c r="D61" s="111">
        <v>43.1</v>
      </c>
      <c r="E61" s="109">
        <v>76.599999999999994</v>
      </c>
    </row>
    <row r="62" spans="1:5" ht="15.75" thickBot="1">
      <c r="B62" s="208"/>
      <c r="E62" s="110">
        <f>AVERAGE(E57:E61)</f>
        <v>85.28</v>
      </c>
    </row>
    <row r="63" spans="1:5" ht="15.75" thickTop="1">
      <c r="B63" s="208"/>
      <c r="C63" s="112" t="s">
        <v>253</v>
      </c>
      <c r="D63" s="111">
        <v>21.5</v>
      </c>
      <c r="E63" s="109">
        <v>308</v>
      </c>
    </row>
    <row r="64" spans="1:5">
      <c r="B64" s="208"/>
      <c r="C64" s="112" t="s">
        <v>253</v>
      </c>
      <c r="D64" s="111">
        <v>21</v>
      </c>
      <c r="E64" s="109">
        <v>323</v>
      </c>
    </row>
    <row r="65" spans="1:5">
      <c r="B65" s="208"/>
      <c r="C65" s="112" t="s">
        <v>253</v>
      </c>
      <c r="D65" s="111">
        <v>22.8</v>
      </c>
      <c r="E65" s="109">
        <v>275</v>
      </c>
    </row>
    <row r="66" spans="1:5">
      <c r="B66" s="208"/>
      <c r="C66" s="112" t="s">
        <v>253</v>
      </c>
      <c r="D66" s="111">
        <v>22.4</v>
      </c>
      <c r="E66" s="109">
        <v>284</v>
      </c>
    </row>
    <row r="67" spans="1:5">
      <c r="B67" s="208"/>
      <c r="C67" s="112" t="s">
        <v>253</v>
      </c>
      <c r="D67" s="111">
        <v>20.6</v>
      </c>
      <c r="E67" s="109">
        <v>339</v>
      </c>
    </row>
    <row r="68" spans="1:5" ht="15.75" thickBot="1">
      <c r="B68" s="209"/>
      <c r="E68" s="110">
        <f>AVERAGE(E63:E67)</f>
        <v>305.8</v>
      </c>
    </row>
    <row r="69" spans="1:5" ht="15.75" thickTop="1"/>
    <row r="70" spans="1:5">
      <c r="A70" s="45" t="s">
        <v>124</v>
      </c>
      <c r="B70" s="207">
        <v>9</v>
      </c>
      <c r="C70" s="112" t="s">
        <v>252</v>
      </c>
      <c r="D70" s="111">
        <v>44.5</v>
      </c>
      <c r="E70" s="109">
        <v>71.900000000000006</v>
      </c>
    </row>
    <row r="71" spans="1:5">
      <c r="A71" s="45" t="s">
        <v>127</v>
      </c>
      <c r="B71" s="208"/>
      <c r="C71" s="112" t="s">
        <v>252</v>
      </c>
      <c r="D71" s="111">
        <v>39.4</v>
      </c>
      <c r="E71" s="109">
        <v>91</v>
      </c>
    </row>
    <row r="72" spans="1:5">
      <c r="A72" s="45" t="s">
        <v>129</v>
      </c>
      <c r="B72" s="208"/>
      <c r="C72" s="112" t="s">
        <v>252</v>
      </c>
      <c r="D72" s="111">
        <v>48.3</v>
      </c>
      <c r="E72" s="109">
        <v>61</v>
      </c>
    </row>
    <row r="73" spans="1:5">
      <c r="A73" s="45">
        <v>690</v>
      </c>
      <c r="B73" s="208"/>
      <c r="C73" s="112" t="s">
        <v>252</v>
      </c>
      <c r="D73" s="111">
        <v>44.1</v>
      </c>
      <c r="E73" s="109">
        <v>73.2</v>
      </c>
    </row>
    <row r="74" spans="1:5">
      <c r="A74" t="s">
        <v>260</v>
      </c>
      <c r="B74" s="208"/>
      <c r="C74" s="112" t="s">
        <v>252</v>
      </c>
      <c r="D74" s="111">
        <v>44.4</v>
      </c>
      <c r="E74" s="109">
        <v>72.2</v>
      </c>
    </row>
    <row r="75" spans="1:5" ht="15.75" thickBot="1">
      <c r="B75" s="208"/>
      <c r="E75" s="110">
        <f>AVERAGE(E70:E74)</f>
        <v>73.86</v>
      </c>
    </row>
    <row r="76" spans="1:5" ht="15.75" thickTop="1">
      <c r="B76" s="208"/>
      <c r="C76" s="112" t="s">
        <v>253</v>
      </c>
      <c r="D76" s="111">
        <v>22.2</v>
      </c>
      <c r="E76" s="109">
        <v>284</v>
      </c>
    </row>
    <row r="77" spans="1:5">
      <c r="B77" s="208"/>
      <c r="C77" s="112" t="s">
        <v>253</v>
      </c>
      <c r="D77" s="111">
        <v>17</v>
      </c>
      <c r="E77" s="109">
        <v>492</v>
      </c>
    </row>
    <row r="78" spans="1:5">
      <c r="B78" s="208"/>
      <c r="C78" s="112" t="s">
        <v>253</v>
      </c>
      <c r="D78" s="111">
        <v>20.399999999999999</v>
      </c>
      <c r="E78" s="109">
        <v>342</v>
      </c>
    </row>
    <row r="79" spans="1:5">
      <c r="B79" s="208"/>
      <c r="C79" s="112" t="s">
        <v>253</v>
      </c>
      <c r="D79" s="111">
        <v>26.3</v>
      </c>
      <c r="E79" s="109">
        <v>206</v>
      </c>
    </row>
    <row r="80" spans="1:5">
      <c r="B80" s="208"/>
      <c r="C80" s="112" t="s">
        <v>253</v>
      </c>
      <c r="D80" s="111">
        <v>27.9</v>
      </c>
      <c r="E80" s="109">
        <v>183</v>
      </c>
    </row>
    <row r="81" spans="2:5" ht="15.75" thickBot="1">
      <c r="B81" s="209"/>
      <c r="E81" s="110">
        <f>AVERAGE(E76:E80)</f>
        <v>301.39999999999998</v>
      </c>
    </row>
    <row r="82" spans="2:5" ht="15.75" thickTop="1"/>
  </sheetData>
  <mergeCells count="7">
    <mergeCell ref="B57:B68"/>
    <mergeCell ref="B70:B81"/>
    <mergeCell ref="L5:M5"/>
    <mergeCell ref="B5:B16"/>
    <mergeCell ref="B18:B29"/>
    <mergeCell ref="B31:B42"/>
    <mergeCell ref="B44:B5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C2:O41"/>
  <sheetViews>
    <sheetView workbookViewId="0">
      <selection activeCell="L32" sqref="L32"/>
    </sheetView>
  </sheetViews>
  <sheetFormatPr defaultRowHeight="15"/>
  <cols>
    <col min="2" max="2" width="17.28515625" bestFit="1" customWidth="1"/>
    <col min="3" max="3" width="20.28515625" bestFit="1" customWidth="1"/>
    <col min="4" max="4" width="12" bestFit="1" customWidth="1"/>
    <col min="5" max="5" width="11" bestFit="1" customWidth="1"/>
  </cols>
  <sheetData>
    <row r="2" spans="3:15">
      <c r="C2" s="26">
        <v>1.0029999999999999</v>
      </c>
      <c r="D2" s="26">
        <v>1.0029999999999999</v>
      </c>
      <c r="E2" s="45" t="s">
        <v>171</v>
      </c>
      <c r="F2" s="45" t="s">
        <v>171</v>
      </c>
      <c r="G2" s="45" t="s">
        <v>171</v>
      </c>
      <c r="H2" s="45">
        <v>-2.5999999999999999E-2</v>
      </c>
      <c r="K2" t="s">
        <v>134</v>
      </c>
    </row>
    <row r="3" spans="3:15">
      <c r="C3" s="26">
        <v>2</v>
      </c>
      <c r="D3" s="26">
        <v>1.002</v>
      </c>
      <c r="E3" s="45">
        <v>1.0149999999999999</v>
      </c>
      <c r="F3" s="45" t="s">
        <v>172</v>
      </c>
      <c r="G3" s="45" t="s">
        <v>173</v>
      </c>
      <c r="H3" s="45" t="s">
        <v>174</v>
      </c>
      <c r="K3">
        <v>0.42</v>
      </c>
      <c r="N3">
        <v>1.05</v>
      </c>
      <c r="O3">
        <f>(N3-$N$12)^2</f>
        <v>9.5604938271604874E-3</v>
      </c>
    </row>
    <row r="4" spans="3:15">
      <c r="C4" s="26">
        <v>3</v>
      </c>
      <c r="D4" s="26">
        <v>1.0009999999999999</v>
      </c>
      <c r="E4" s="45">
        <v>1.01</v>
      </c>
      <c r="F4" s="45" t="s">
        <v>175</v>
      </c>
      <c r="G4" s="45" t="s">
        <v>176</v>
      </c>
      <c r="H4" s="45" t="s">
        <v>177</v>
      </c>
      <c r="K4">
        <v>0.34</v>
      </c>
      <c r="L4">
        <f t="shared" ref="L4:L11" si="0">(K4-$K$12)^2</f>
        <v>0.46089012345679009</v>
      </c>
      <c r="N4">
        <v>1.04</v>
      </c>
      <c r="O4">
        <f t="shared" ref="O4:O11" si="1">(N4-$N$12)^2</f>
        <v>1.1616049382716043E-2</v>
      </c>
    </row>
    <row r="5" spans="3:15">
      <c r="C5" s="26">
        <v>4</v>
      </c>
      <c r="D5" s="26">
        <v>1.351</v>
      </c>
      <c r="E5" s="45">
        <v>1.2949999999999999</v>
      </c>
      <c r="F5" s="45" t="s">
        <v>178</v>
      </c>
      <c r="G5" s="45" t="s">
        <v>179</v>
      </c>
      <c r="H5" s="45" t="s">
        <v>180</v>
      </c>
      <c r="K5">
        <v>-1.94</v>
      </c>
      <c r="L5">
        <f t="shared" si="0"/>
        <v>8.7550234567901217</v>
      </c>
      <c r="N5">
        <v>0.8</v>
      </c>
      <c r="O5">
        <f t="shared" si="1"/>
        <v>0.12094938271604935</v>
      </c>
    </row>
    <row r="6" spans="3:15">
      <c r="C6" s="26">
        <v>5</v>
      </c>
      <c r="D6" s="26">
        <v>1.0449999999999999</v>
      </c>
      <c r="E6" s="45">
        <v>1.0589999999999999</v>
      </c>
      <c r="F6" s="45" t="s">
        <v>181</v>
      </c>
      <c r="G6" s="45" t="s">
        <v>182</v>
      </c>
      <c r="H6" s="45" t="s">
        <v>183</v>
      </c>
      <c r="K6">
        <v>3.11</v>
      </c>
      <c r="L6">
        <f t="shared" si="0"/>
        <v>4.372745679012346</v>
      </c>
      <c r="N6">
        <v>1.43</v>
      </c>
      <c r="O6">
        <f t="shared" si="1"/>
        <v>7.9649382716049349E-2</v>
      </c>
    </row>
    <row r="7" spans="3:15">
      <c r="C7" s="26">
        <v>6</v>
      </c>
      <c r="D7" s="26">
        <v>1.0369999999999999</v>
      </c>
      <c r="E7" s="45">
        <v>1.05</v>
      </c>
      <c r="F7" s="45" t="s">
        <v>184</v>
      </c>
      <c r="G7" s="45" t="s">
        <v>185</v>
      </c>
      <c r="H7" s="45" t="s">
        <v>186</v>
      </c>
      <c r="K7">
        <v>2.2799999999999998</v>
      </c>
      <c r="L7">
        <f t="shared" si="0"/>
        <v>1.5904012345679006</v>
      </c>
      <c r="N7">
        <v>1.3</v>
      </c>
      <c r="O7">
        <f t="shared" si="1"/>
        <v>2.3171604938271615E-2</v>
      </c>
    </row>
    <row r="8" spans="3:15">
      <c r="C8" s="26">
        <v>7</v>
      </c>
      <c r="D8" s="26">
        <v>1.7090000000000001</v>
      </c>
      <c r="E8" s="45">
        <v>1.3109999999999999</v>
      </c>
      <c r="F8" s="45" t="s">
        <v>187</v>
      </c>
      <c r="G8" s="45" t="s">
        <v>188</v>
      </c>
      <c r="H8" s="45" t="s">
        <v>189</v>
      </c>
      <c r="K8">
        <v>-1.62</v>
      </c>
      <c r="L8">
        <f t="shared" si="0"/>
        <v>6.9637345679012368</v>
      </c>
      <c r="N8">
        <v>0.83</v>
      </c>
      <c r="O8">
        <f t="shared" si="1"/>
        <v>0.10098271604938275</v>
      </c>
    </row>
    <row r="9" spans="3:15">
      <c r="C9" s="26">
        <v>8</v>
      </c>
      <c r="D9" s="26">
        <v>1.147</v>
      </c>
      <c r="E9" s="45">
        <v>1.2170000000000001</v>
      </c>
      <c r="F9" s="45" t="s">
        <v>190</v>
      </c>
      <c r="G9" s="45" t="s">
        <v>191</v>
      </c>
      <c r="H9" s="45" t="s">
        <v>192</v>
      </c>
      <c r="K9">
        <v>3.29</v>
      </c>
      <c r="L9">
        <f t="shared" si="0"/>
        <v>5.1579456790123448</v>
      </c>
      <c r="N9">
        <v>1.46</v>
      </c>
      <c r="O9">
        <f t="shared" si="1"/>
        <v>9.7482716049382689E-2</v>
      </c>
    </row>
    <row r="10" spans="3:15">
      <c r="C10" s="26">
        <v>9</v>
      </c>
      <c r="D10" s="26">
        <v>1.0760000000000001</v>
      </c>
      <c r="E10" s="45">
        <v>1.0289999999999999</v>
      </c>
      <c r="F10" s="45" t="s">
        <v>193</v>
      </c>
      <c r="G10" s="45" t="s">
        <v>194</v>
      </c>
      <c r="H10" s="45" t="s">
        <v>195</v>
      </c>
      <c r="K10">
        <v>2.08</v>
      </c>
      <c r="L10">
        <f t="shared" si="0"/>
        <v>1.1259567901234568</v>
      </c>
      <c r="N10">
        <v>1.27</v>
      </c>
      <c r="O10">
        <f t="shared" si="1"/>
        <v>1.4938271604938274E-2</v>
      </c>
    </row>
    <row r="11" spans="3:15">
      <c r="C11" s="26" t="s">
        <v>197</v>
      </c>
      <c r="D11" s="26"/>
      <c r="E11" t="s">
        <v>198</v>
      </c>
      <c r="K11">
        <v>1.21</v>
      </c>
      <c r="L11">
        <f t="shared" si="0"/>
        <v>3.6523456790123421E-2</v>
      </c>
      <c r="N11">
        <v>1.1499999999999999</v>
      </c>
      <c r="O11">
        <f t="shared" si="1"/>
        <v>4.9382716049378414E-6</v>
      </c>
    </row>
    <row r="12" spans="3:15">
      <c r="C12">
        <v>-2.5999999999999999E-2</v>
      </c>
      <c r="D12">
        <f>(C12-$C$21)^2</f>
        <v>0.90169795604938241</v>
      </c>
      <c r="E12">
        <f>C12^2</f>
        <v>6.7599999999999995E-4</v>
      </c>
      <c r="F12">
        <f>(SUM(C12:C20))/9</f>
        <v>-0.97557777777777765</v>
      </c>
      <c r="G12">
        <f>E12-$F$12</f>
        <v>0.97625377777777766</v>
      </c>
      <c r="H12">
        <f>3*((B16-B21)^2+(B17-B21)^2+(B18-B21)^2)</f>
        <v>0</v>
      </c>
      <c r="J12" s="59" t="s">
        <v>36</v>
      </c>
      <c r="K12" s="59">
        <f>AVERAGE(K3:K11)</f>
        <v>1.018888888888889</v>
      </c>
      <c r="N12" s="59">
        <f>AVERAGE(N3:N11)</f>
        <v>1.1477777777777778</v>
      </c>
    </row>
    <row r="13" spans="3:15">
      <c r="C13">
        <v>-7.3300000000000004E-2</v>
      </c>
      <c r="D13">
        <f t="shared" ref="D13:D20" si="2">(C13-$C$21)^2</f>
        <v>0.81410518827160461</v>
      </c>
      <c r="E13">
        <f t="shared" ref="E13:E20" si="3">C13^2</f>
        <v>5.3728900000000008E-3</v>
      </c>
      <c r="G13">
        <f t="shared" ref="G13:G19" si="4">E13-$F$12</f>
        <v>0.98095066777777762</v>
      </c>
      <c r="J13" s="59" t="s">
        <v>196</v>
      </c>
      <c r="K13" s="59">
        <f>SUM(K3:K11)</f>
        <v>9.17</v>
      </c>
      <c r="L13">
        <f>SUM(L3:L11)</f>
        <v>28.463220987654324</v>
      </c>
      <c r="N13" s="59">
        <f>SUM(N3:N11)</f>
        <v>10.33</v>
      </c>
      <c r="O13">
        <f>SUM(O3:O11)</f>
        <v>0.45835555555555546</v>
      </c>
    </row>
    <row r="14" spans="3:15">
      <c r="C14">
        <v>-4.7600000000000003E-2</v>
      </c>
      <c r="D14">
        <f t="shared" si="2"/>
        <v>0.86114275604938251</v>
      </c>
      <c r="E14">
        <f t="shared" si="3"/>
        <v>2.2657600000000003E-3</v>
      </c>
      <c r="G14">
        <f t="shared" si="4"/>
        <v>0.97784353777777766</v>
      </c>
    </row>
    <row r="15" spans="3:15">
      <c r="C15">
        <v>-2.4291999999999998</v>
      </c>
      <c r="D15">
        <f t="shared" si="2"/>
        <v>2.1130175649382714</v>
      </c>
      <c r="E15">
        <f t="shared" si="3"/>
        <v>5.9010126399999994</v>
      </c>
      <c r="G15">
        <f t="shared" si="4"/>
        <v>6.876590417777777</v>
      </c>
    </row>
    <row r="16" spans="3:15">
      <c r="C16">
        <v>-0.44009999999999999</v>
      </c>
      <c r="D16">
        <f t="shared" si="2"/>
        <v>0.28673645049382712</v>
      </c>
      <c r="E16">
        <f t="shared" si="3"/>
        <v>0.19368800999999999</v>
      </c>
      <c r="G16">
        <f t="shared" si="4"/>
        <v>1.1692657877777777</v>
      </c>
    </row>
    <row r="17" spans="3:13">
      <c r="C17">
        <v>-0.36969999999999997</v>
      </c>
      <c r="D17">
        <f t="shared" si="2"/>
        <v>0.36708788160493822</v>
      </c>
      <c r="E17">
        <f t="shared" si="3"/>
        <v>0.13667808999999997</v>
      </c>
      <c r="G17">
        <f t="shared" si="4"/>
        <v>1.1122558677777776</v>
      </c>
    </row>
    <row r="18" spans="3:13">
      <c r="C18">
        <v>-3.5034999999999998</v>
      </c>
      <c r="D18">
        <f t="shared" si="2"/>
        <v>6.3903907616049382</v>
      </c>
      <c r="E18">
        <f t="shared" si="3"/>
        <v>12.274512249999999</v>
      </c>
      <c r="G18">
        <f>E18-$F$12</f>
        <v>13.250090027777777</v>
      </c>
    </row>
    <row r="19" spans="3:13">
      <c r="C19">
        <v>-1.4484999999999999</v>
      </c>
      <c r="D19">
        <f t="shared" si="2"/>
        <v>0.22365542827160495</v>
      </c>
      <c r="E19">
        <f t="shared" si="3"/>
        <v>2.0981522499999996</v>
      </c>
      <c r="G19">
        <f t="shared" si="4"/>
        <v>3.0737300277777773</v>
      </c>
    </row>
    <row r="20" spans="3:13">
      <c r="C20">
        <v>-0.44230000000000003</v>
      </c>
      <c r="D20">
        <f t="shared" si="2"/>
        <v>0.28438518827160481</v>
      </c>
      <c r="E20">
        <f t="shared" si="3"/>
        <v>0.19562929000000001</v>
      </c>
      <c r="G20">
        <f>E20-$F$12</f>
        <v>1.1712070677777777</v>
      </c>
      <c r="K20">
        <v>1</v>
      </c>
      <c r="L20">
        <v>2</v>
      </c>
      <c r="M20">
        <f>FTEST(K20:K23,L20:L23)</f>
        <v>0.47152364574701067</v>
      </c>
    </row>
    <row r="21" spans="3:13">
      <c r="C21" s="28">
        <f>AVERAGE(C12:C20)</f>
        <v>-0.97557777777777765</v>
      </c>
      <c r="D21" s="61">
        <f>SUM(D12:D20)</f>
        <v>12.242219175555556</v>
      </c>
      <c r="G21">
        <f>SUM(G12:G20)</f>
        <v>29.588187179999998</v>
      </c>
      <c r="K21">
        <v>2</v>
      </c>
      <c r="L21">
        <v>3</v>
      </c>
    </row>
    <row r="22" spans="3:13">
      <c r="K22">
        <v>3</v>
      </c>
      <c r="L22">
        <v>1</v>
      </c>
    </row>
    <row r="23" spans="3:13">
      <c r="K23">
        <v>4</v>
      </c>
      <c r="L23">
        <v>2</v>
      </c>
    </row>
    <row r="26" spans="3:13">
      <c r="C26" t="s">
        <v>154</v>
      </c>
    </row>
    <row r="27" spans="3:13">
      <c r="C27" s="212" t="s">
        <v>165</v>
      </c>
      <c r="D27" s="212"/>
      <c r="E27" s="212"/>
      <c r="F27" s="212"/>
      <c r="G27" s="212"/>
      <c r="H27" s="212"/>
      <c r="I27" s="212"/>
    </row>
    <row r="28" spans="3:13">
      <c r="C28" s="45" t="s">
        <v>155</v>
      </c>
      <c r="D28" t="s">
        <v>160</v>
      </c>
      <c r="E28" t="s">
        <v>161</v>
      </c>
      <c r="F28" t="s">
        <v>164</v>
      </c>
      <c r="G28" t="s">
        <v>168</v>
      </c>
      <c r="H28" t="s">
        <v>162</v>
      </c>
      <c r="I28" t="s">
        <v>170</v>
      </c>
      <c r="J28" t="s">
        <v>163</v>
      </c>
    </row>
    <row r="29" spans="3:13">
      <c r="C29" s="77"/>
      <c r="D29" s="77"/>
      <c r="E29" s="77"/>
      <c r="F29" s="77"/>
      <c r="G29" s="77" t="s">
        <v>169</v>
      </c>
      <c r="H29" s="77"/>
      <c r="I29" s="77"/>
      <c r="J29" s="77"/>
    </row>
    <row r="30" spans="3:13">
      <c r="C30" s="72" t="s">
        <v>157</v>
      </c>
      <c r="D30" s="63">
        <v>2</v>
      </c>
      <c r="E30" s="63">
        <v>5.915423233788851</v>
      </c>
      <c r="F30" s="63"/>
      <c r="G30" s="63">
        <f>E30/D30</f>
        <v>2.9577116168944255</v>
      </c>
      <c r="H30" s="64">
        <f>G30/G35:G35</f>
        <v>1.8999091602619713</v>
      </c>
      <c r="I30" s="65" t="e">
        <f>FTEST(H30,G35)</f>
        <v>#DIV/0!</v>
      </c>
      <c r="J30" s="66">
        <v>43.671546947449727</v>
      </c>
      <c r="K30" s="26"/>
    </row>
    <row r="31" spans="3:13">
      <c r="C31" s="26"/>
      <c r="D31" s="26"/>
      <c r="E31" s="26"/>
      <c r="F31" s="26"/>
      <c r="G31" s="26"/>
      <c r="H31" s="26"/>
      <c r="I31" s="26"/>
      <c r="J31" s="26"/>
      <c r="K31" s="26"/>
    </row>
    <row r="32" spans="3:13">
      <c r="C32" s="73" t="s">
        <v>199</v>
      </c>
      <c r="D32" s="56">
        <v>2</v>
      </c>
      <c r="E32" s="56">
        <v>1.7107548417478493</v>
      </c>
      <c r="F32" s="57"/>
      <c r="G32" s="57"/>
      <c r="H32" s="26"/>
      <c r="I32" s="26"/>
      <c r="J32" s="26"/>
      <c r="K32" s="26"/>
    </row>
    <row r="33" spans="3:11">
      <c r="C33" s="56" t="s">
        <v>156</v>
      </c>
      <c r="D33" s="56">
        <v>2</v>
      </c>
      <c r="E33" s="56">
        <v>3.0205427848896829</v>
      </c>
      <c r="F33" s="57"/>
      <c r="G33" s="57"/>
      <c r="H33" s="57"/>
      <c r="I33" s="26"/>
      <c r="J33" s="57"/>
      <c r="K33" s="26"/>
    </row>
    <row r="34" spans="3:11">
      <c r="C34" s="74" t="s">
        <v>152</v>
      </c>
      <c r="D34" s="56">
        <v>2</v>
      </c>
      <c r="E34" s="56">
        <v>4.6092908986157415</v>
      </c>
      <c r="F34" s="56"/>
      <c r="G34" s="56"/>
      <c r="H34" s="67"/>
      <c r="I34" s="68"/>
      <c r="J34" s="69"/>
      <c r="K34" s="26"/>
    </row>
    <row r="35" spans="3:11">
      <c r="C35" s="75" t="s">
        <v>200</v>
      </c>
      <c r="D35" s="70">
        <f>SUM(D32:D34)</f>
        <v>6</v>
      </c>
      <c r="E35" s="70">
        <f>SUM(E32:E34)</f>
        <v>9.3405885252532741</v>
      </c>
      <c r="F35" s="70"/>
      <c r="G35" s="70">
        <f>E35/D35</f>
        <v>1.5567647542088789</v>
      </c>
      <c r="H35" s="70"/>
      <c r="I35" s="70"/>
      <c r="J35" s="71"/>
      <c r="K35" s="26"/>
    </row>
    <row r="36" spans="3:11">
      <c r="C36" s="26"/>
      <c r="D36" s="26"/>
      <c r="E36" s="26"/>
      <c r="F36" s="26"/>
      <c r="G36" s="26"/>
      <c r="H36" s="57"/>
      <c r="I36" s="57"/>
      <c r="J36" s="26"/>
      <c r="K36" s="26"/>
    </row>
    <row r="37" spans="3:11">
      <c r="C37" s="76" t="s">
        <v>159</v>
      </c>
      <c r="D37" s="56">
        <f>SUM(D30:D34)</f>
        <v>8</v>
      </c>
      <c r="E37" s="63">
        <f>SUM(E30:E35)</f>
        <v>24.596600284295398</v>
      </c>
      <c r="F37" s="57"/>
      <c r="G37" s="57">
        <f>E37/D37</f>
        <v>3.0745750355369248</v>
      </c>
      <c r="H37" s="26"/>
      <c r="I37" s="26"/>
      <c r="J37" s="26"/>
      <c r="K37" s="26"/>
    </row>
    <row r="38" spans="3:11">
      <c r="H38" s="26"/>
      <c r="I38" s="26"/>
      <c r="J38" s="26"/>
      <c r="K38" s="26"/>
    </row>
    <row r="39" spans="3:11">
      <c r="C39" s="26"/>
      <c r="D39" s="26"/>
      <c r="E39" s="26"/>
      <c r="F39" s="26"/>
      <c r="G39" s="26"/>
      <c r="H39" s="26"/>
      <c r="I39" s="26"/>
      <c r="J39" s="26"/>
      <c r="K39" s="26"/>
    </row>
    <row r="40" spans="3:11">
      <c r="C40" s="77"/>
      <c r="D40" s="77"/>
      <c r="E40" s="77"/>
      <c r="F40" s="77"/>
      <c r="G40" s="77"/>
      <c r="H40" s="77"/>
      <c r="I40" s="77"/>
      <c r="J40" s="77"/>
      <c r="K40" s="26"/>
    </row>
    <row r="41" spans="3:11">
      <c r="C41" s="77"/>
      <c r="D41" s="77"/>
      <c r="E41" s="77"/>
      <c r="F41" s="77"/>
      <c r="G41" s="77"/>
      <c r="H41" s="77"/>
      <c r="I41" s="77"/>
      <c r="J41" s="77"/>
    </row>
  </sheetData>
  <mergeCells count="1">
    <mergeCell ref="C27:I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Results</vt:lpstr>
      <vt:lpstr>Planning</vt:lpstr>
      <vt:lpstr>Harness testing</vt:lpstr>
      <vt:lpstr>Impact</vt:lpstr>
      <vt:lpstr>Surface testing results</vt:lpstr>
      <vt:lpstr>Tensile testing</vt:lpstr>
      <vt:lpstr>Experimental design </vt:lpstr>
      <vt:lpstr>Microhardness testing</vt:lpstr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2009-09-11T05:55:19Z</dcterms:created>
  <dcterms:modified xsi:type="dcterms:W3CDTF">2010-07-21T04:59:10Z</dcterms:modified>
</cp:coreProperties>
</file>